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Uzit7Np8rg+y0qYrck+LRQIEGu8U1X2+2RttX2atQecT6iAI8Re0zZEIsOq6Uz3HbronKi8j5lS9ABSuQxAWw==" workbookSaltValue="AUGlZE7P4D5MsjksSPAC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G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EQ19" i="8"/>
  <c r="EN19" i="8"/>
  <c r="BA13" i="16"/>
  <c r="F16" i="10"/>
  <c r="E10" i="6"/>
  <c r="ES19" i="8"/>
  <c r="R8" i="9"/>
  <c r="X12" i="21" s="1"/>
  <c r="EP19" i="8"/>
  <c r="EP19" i="19"/>
  <c r="BH9" i="16"/>
  <c r="BJ17" i="11"/>
  <c r="BH15" i="16"/>
  <c r="BL17" i="11"/>
  <c r="BF10" i="11"/>
  <c r="S13" i="16"/>
  <c r="P13" i="16"/>
  <c r="W13" i="20"/>
  <c r="M18" i="2"/>
  <c r="AO12" i="11"/>
  <c r="BK15" i="11"/>
  <c r="AZ17" i="11"/>
  <c r="Q10" i="21"/>
  <c r="BJ11" i="11"/>
  <c r="BI17" i="11"/>
  <c r="BL11" i="11"/>
  <c r="BM15" i="11"/>
  <c r="T15" i="16"/>
  <c r="BW9" i="20"/>
  <c r="BV16" i="16"/>
  <c r="BV15" i="16"/>
  <c r="BU9" i="17"/>
  <c r="BU17" i="17"/>
  <c r="BV9" i="16"/>
  <c r="T13" i="16"/>
  <c r="AZ12" i="11"/>
  <c r="T15" i="11"/>
  <c r="T16" i="11"/>
  <c r="BG12" i="11"/>
  <c r="Q17" i="17"/>
  <c r="BH10" i="11"/>
  <c r="BI9" i="11"/>
  <c r="AQ10" i="21"/>
  <c r="BJ10" i="11"/>
  <c r="BK16" i="11"/>
  <c r="BH11" i="11"/>
  <c r="BG16" i="11"/>
  <c r="T11" i="11"/>
  <c r="BH16" i="11"/>
  <c r="AQ12" i="21"/>
  <c r="BH12" i="16"/>
  <c r="BJ16" i="11"/>
  <c r="BK10" i="11"/>
  <c r="BL16" i="11"/>
  <c r="BD9" i="8"/>
  <c r="BE9" i="8"/>
  <c r="L10" i="2"/>
  <c r="S15" i="17"/>
  <c r="L12" i="2"/>
  <c r="X15" i="16"/>
  <c r="X18" i="16" s="1"/>
  <c r="U9" i="17"/>
  <c r="U19" i="17" s="1"/>
  <c r="V10" i="16"/>
  <c r="AP13" i="16"/>
  <c r="T18" i="17"/>
  <c r="BF15" i="13"/>
  <c r="BF16" i="13"/>
  <c r="AK20" i="20"/>
  <c r="T20" i="20"/>
  <c r="O16" i="11"/>
  <c r="Z20" i="20"/>
  <c r="H20" i="20"/>
  <c r="G18" i="14"/>
  <c r="AL19" i="8" l="1"/>
  <c r="R19" i="8"/>
  <c r="BF17" i="8"/>
  <c r="AJ19" i="8"/>
  <c r="BM18" i="16"/>
  <c r="E15" i="3"/>
  <c r="G18" i="12"/>
  <c r="L19" i="8"/>
  <c r="E18" i="12"/>
  <c r="C18" i="7"/>
  <c r="AG19" i="8"/>
  <c r="H13" i="12"/>
  <c r="D13" i="7"/>
  <c r="I19" i="8"/>
  <c r="I10" i="3"/>
  <c r="E10" i="3"/>
  <c r="B12" i="6"/>
  <c r="AY13" i="8"/>
  <c r="BD12" i="8"/>
  <c r="BE12" i="8"/>
  <c r="L11" i="14"/>
  <c r="F11" i="11"/>
  <c r="AQ11" i="11" s="1"/>
  <c r="BE12" i="21"/>
  <c r="BE15" i="13"/>
  <c r="BM9" i="11"/>
  <c r="S17" i="17"/>
  <c r="BF15" i="11"/>
  <c r="BM17" i="11"/>
  <c r="Q15" i="17"/>
  <c r="BH10" i="16"/>
  <c r="BL10" i="11"/>
  <c r="BL15" i="11"/>
  <c r="BF12" i="11"/>
  <c r="P15" i="17"/>
  <c r="S15" i="16"/>
  <c r="X17" i="17"/>
  <c r="AZ11" i="11"/>
  <c r="S11" i="14"/>
  <c r="V11" i="14" s="1"/>
  <c r="AZ16" i="11"/>
  <c r="AA16" i="16"/>
  <c r="BU16" i="17"/>
  <c r="BV10" i="16"/>
  <c r="BW15" i="20"/>
  <c r="BW16" i="20"/>
  <c r="BW17" i="20"/>
  <c r="BU15" i="17"/>
  <c r="T17" i="16"/>
  <c r="BH17" i="11"/>
  <c r="BG9" i="11"/>
  <c r="R10" i="21"/>
  <c r="R13" i="21" s="1"/>
  <c r="V9" i="11"/>
  <c r="BI10" i="11"/>
  <c r="X9" i="17"/>
  <c r="X11" i="17"/>
  <c r="BK9" i="11"/>
  <c r="BK12" i="11"/>
  <c r="Q17" i="20"/>
  <c r="Q18" i="20" s="1"/>
  <c r="BH15" i="11"/>
  <c r="V15" i="11"/>
  <c r="AP16" i="20"/>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<sst xmlns="http://schemas.openxmlformats.org/spreadsheetml/2006/main" count="2080" uniqueCount="914">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</sst>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djSLv1rrSV67V6ylkC7vWpctpWyWbZ/FNg3wcrv9zyFjkTjxaWDbt8CPRU4Zdy5xiW357cdO/FMWHuem5y/wQ==" saltValue="IVM4o6cIXPXCxnqqg8pI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38.398905908096282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135</v>
      </c>
      <c r="D10" s="225">
        <f>IF(ISNUMBER(Datos!I10),Datos!I10," - ")</f>
        <v>135</v>
      </c>
      <c r="E10" s="226">
        <f>IF(ISNUMBER(Datos!J10),Datos!J10," - ")</f>
        <v>59</v>
      </c>
      <c r="F10" s="226">
        <f>IF(ISNUMBER(Datos!K10),Datos!K10," - ")</f>
        <v>55</v>
      </c>
      <c r="G10" s="1034" t="str">
        <f>IF(Datos!E10&lt;&gt;"",Datos!E10,Datos!D10)</f>
        <v>37</v>
      </c>
      <c r="H10" s="227">
        <f>IF(ISNUMBER(Datos!L10),Datos!L10," - ")</f>
        <v>139</v>
      </c>
      <c r="I10" s="1044" t="str">
        <f>IF(ISNUMBER(Datos!AS10/Datos!BM10),Datos!AS10/Datos!BM10," - ")</f>
        <v xml:space="preserve"> - </v>
      </c>
      <c r="J10" s="1045">
        <f>IF(ISNUMBER(Datos!BY10/Datos!CN10),Datos!BY10/Datos!CN10," - ")</f>
        <v>0</v>
      </c>
      <c r="K10" s="230">
        <f t="shared" ref="K10:K12" si="1">IF(ISNUMBER((E10-F10)/C10),(E10-F10)/C10," - ")</f>
        <v>2.9629629629629631E-2</v>
      </c>
      <c r="L10" s="1025">
        <f>IF(ISNUMBER(NºAsuntos!I10/NºAsuntos!G10),(NºAsuntos!I10/NºAsuntos!G10)*11," - ")</f>
        <v>27.8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13.591057797164668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135</v>
      </c>
      <c r="D13" s="1049">
        <f>SUBTOTAL(9,D9:D12)</f>
        <v>135</v>
      </c>
      <c r="E13" s="1050">
        <f>SUBTOTAL(9,E9:E12)</f>
        <v>59</v>
      </c>
      <c r="F13" s="1051">
        <f>SUBTOTAL(9,F9:F12)</f>
        <v>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6345</v>
      </c>
      <c r="D15" s="225">
        <f>IF(ISNUMBER(IF(D_I="SI",Datos!I15,Datos!I15+Datos!AC15)),IF(D_I="SI",Datos!I15,Datos!I15+Datos!AC15)," - ")</f>
        <v>6299</v>
      </c>
      <c r="E15" s="226">
        <f>IF(ISNUMBER(IF(D_I="SI",Datos!J15,Datos!J15+Datos!AD15)),IF(D_I="SI",Datos!J15,Datos!J15+Datos!AD15)," - ")</f>
        <v>3825</v>
      </c>
      <c r="F15" s="226">
        <f>IF(ISNUMBER(IF(D_I="SI",Datos!K15,Datos!K15+Datos!AE15)),IF(D_I="SI",Datos!K15,Datos!K15+Datos!AE15)," - ")</f>
        <v>3728</v>
      </c>
      <c r="G15" s="1034" t="str">
        <f>IF(Datos!E15&lt;&gt;"",Datos!E15,Datos!D15)</f>
        <v>03</v>
      </c>
      <c r="H15" s="227">
        <f>IF(ISNUMBER(IF(D_I="SI",Datos!L15,Datos!L15+Datos!AF15)),IF(D_I="SI",Datos!L15,Datos!L15+Datos!AF15)," - ")</f>
        <v>6442</v>
      </c>
      <c r="I15" s="1044" t="str">
        <f>IF(ISNUMBER(Datos!AS15/Datos!BM15),Datos!AS15/Datos!BM15," - ")</f>
        <v xml:space="preserve"> - </v>
      </c>
      <c r="J15" s="1045">
        <f>IF(ISNUMBER(Datos!BY15/Datos!CN15),Datos!BY15/Datos!CN15," - ")</f>
        <v>0</v>
      </c>
      <c r="K15" s="230">
        <f t="shared" ref="K15:K17" si="3">IF(ISNUMBER((E15-F15)/C15),(E15-F15)/C15," - ")</f>
        <v>1.52876280535855E-2</v>
      </c>
      <c r="L15" s="1025">
        <f>IF(ISNUMBER(NºAsuntos!I15/NºAsuntos!G15),(NºAsuntos!I15/NºAsuntos!G15)*11," - ")</f>
        <v>19.008047210300429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242</v>
      </c>
      <c r="D17" s="225">
        <f>IF(ISNUMBER(IF(D_I="SI",Datos!I17,Datos!I17+Datos!AC17)),IF(D_I="SI",Datos!I17,Datos!I17+Datos!AC17)," - ")</f>
        <v>242</v>
      </c>
      <c r="E17" s="226">
        <f>IF(ISNUMBER(IF(D_I="SI",Datos!J17,Datos!J17+Datos!AD17)),IF(D_I="SI",Datos!J17,Datos!J17+Datos!AD17)," - ")</f>
        <v>287</v>
      </c>
      <c r="F17" s="226">
        <f>IF(ISNUMBER(IF(D_I="SI",Datos!K17,Datos!K17+Datos!AE17)),IF(D_I="SI",Datos!K17,Datos!K17+Datos!AE17)," - ")</f>
        <v>301</v>
      </c>
      <c r="G17" s="1034" t="str">
        <f>IF(Datos!E17&lt;&gt;"",Datos!E17,Datos!D17)</f>
        <v>37</v>
      </c>
      <c r="H17" s="227">
        <f>IF(ISNUMBER(IF(D_I="SI",Datos!L17,Datos!L17+Datos!AF17)),IF(D_I="SI",Datos!L17,Datos!L17+Datos!AF17)," - ")</f>
        <v>228</v>
      </c>
      <c r="I17" s="1044" t="str">
        <f>IF(ISNUMBER(Datos!AS17/Datos!BM17),Datos!AS17/Datos!BM17," - ")</f>
        <v xml:space="preserve"> - </v>
      </c>
      <c r="J17" s="1045" t="str">
        <f>IF(ISNUMBER((Datos!BY17+Datos!BZ17)/Datos!CN17),(Datos!BY17+Datos!BZ17)/Datos!CN17," - ")</f>
        <v xml:space="preserve"> - </v>
      </c>
      <c r="K17" s="230">
        <f t="shared" si="3"/>
        <v>-5.7851239669421489E-2</v>
      </c>
      <c r="L17" s="1025">
        <f>IF(ISNUMBER(NºAsuntos!I17/NºAsuntos!G17),(NºAsuntos!I17/NºAsuntos!G17)*11," - ")</f>
        <v>8.3322259136212615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6587</v>
      </c>
      <c r="D18" s="1049">
        <f>SUBTOTAL(9,D15:D17)</f>
        <v>6541</v>
      </c>
      <c r="E18" s="1050">
        <f>SUBTOTAL(9,E15:E17)</f>
        <v>4112</v>
      </c>
      <c r="F18" s="1050">
        <f>SUBTOTAL(9,F15:F17)</f>
        <v>4029</v>
      </c>
      <c r="G18" s="1052" t="str">
        <f ca="1">INDIRECT(CONCATENATE("G",ROW()-1))</f>
        <v>37</v>
      </c>
      <c r="H18" s="1053">
        <f ca="1">SUMIF(G$14:G17,G18,H$14:H17)</f>
        <v>228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6722</v>
      </c>
      <c r="D19" s="1071">
        <f>SUBTOTAL(9,D9:D18)</f>
        <v>6676</v>
      </c>
      <c r="E19" s="1072">
        <f>SUBTOTAL(9,E9:E18)</f>
        <v>4171</v>
      </c>
      <c r="F19" s="1072">
        <f>SUBTOTAL(9,F9:F18)</f>
        <v>4084</v>
      </c>
      <c r="G19" s="1073"/>
      <c r="H19" s="1074">
        <f ca="1">SUMIF(B9:B18,"TOTAL",H9:H18)</f>
        <v>228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WDF7aQUO1fAEmfgl43FMPl0/QPUPLGnNKXrhIoi981cT4Q5k//oHCFl+Ud6Px+JxKS0QO5rHZoHlVGJz1mmTA==" saltValue="h0rWHei/ZjkwcfZkNG42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I/mJGMIIFs8hwH+uxEwXybrDxKTXCfBQFSw+7Yj+ZfTFCQArH4mn6ZEmbYRg7jzXA7p1j+5WVJKEzgQkchm0g==" saltValue="+qI556Lx907dHQ/FBk+V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15546</v>
      </c>
      <c r="J9" s="181">
        <v>4340</v>
      </c>
      <c r="K9" s="181">
        <v>4292</v>
      </c>
      <c r="L9" s="181">
        <v>15592</v>
      </c>
      <c r="M9" s="181">
        <v>810</v>
      </c>
      <c r="N9" s="181">
        <v>1942</v>
      </c>
      <c r="O9" s="181">
        <v>2347</v>
      </c>
      <c r="P9" s="181">
        <v>1152</v>
      </c>
      <c r="Q9" s="181">
        <v>2017</v>
      </c>
      <c r="R9" s="181">
        <v>16374</v>
      </c>
      <c r="S9" s="181">
        <v>14555</v>
      </c>
      <c r="T9" s="181">
        <v>1626</v>
      </c>
      <c r="U9" s="181">
        <v>3242</v>
      </c>
      <c r="V9" s="181">
        <v>12939</v>
      </c>
      <c r="W9" s="181">
        <v>648</v>
      </c>
      <c r="X9" s="188">
        <v>1803</v>
      </c>
      <c r="Y9" s="191">
        <v>453</v>
      </c>
      <c r="Z9" s="181">
        <v>186</v>
      </c>
      <c r="AA9" s="181">
        <v>278</v>
      </c>
      <c r="AB9" s="181">
        <v>361</v>
      </c>
      <c r="AC9" s="181">
        <v>0</v>
      </c>
      <c r="AD9" s="181">
        <v>0</v>
      </c>
      <c r="AE9" s="181">
        <v>0</v>
      </c>
      <c r="AF9" s="188">
        <v>0</v>
      </c>
      <c r="AG9" s="191">
        <v>447</v>
      </c>
      <c r="AH9" s="181">
        <v>99</v>
      </c>
      <c r="AI9" s="181">
        <v>134</v>
      </c>
      <c r="AJ9" s="192">
        <v>412</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15002</v>
      </c>
      <c r="AZ9" s="123">
        <f>IF(ISNUMBER(IF(J_V="SI",T9,T9+AH9)),IF(J_V="SI",T9,T9+AH9)," - ")</f>
        <v>1725</v>
      </c>
      <c r="BA9" s="124">
        <f>IF(ISNUMBER(IF(J_V="SI",U9,U9+AI9)),IF(J_V="SI",U9,U9+AI9)," - ")</f>
        <v>3376</v>
      </c>
      <c r="BB9" s="124">
        <f>IF(ISNUMBER(IF(J_V="SI",V9,V9+AJ9)),IF(J_V="SI",V9,V9+AJ9)," - ")</f>
        <v>13351</v>
      </c>
      <c r="BC9" s="125">
        <f>IF(ISNUMBER(X9),X9," - ")</f>
        <v>1803</v>
      </c>
      <c r="BD9" s="126">
        <f>IF(ISNUMBER(BA9/AZ9),BA9/AZ9," - ")</f>
        <v>1.9571014492753622</v>
      </c>
      <c r="BE9" s="127">
        <f>IF(ISNUMBER(BB9/BA9),BB9/BA9, " - ")</f>
        <v>3.9546800947867298</v>
      </c>
      <c r="BF9" s="127">
        <f>IF(ISNUMBER(BC9/BA9),BC9/BA9, " - ")</f>
        <v>0.53406398104265407</v>
      </c>
      <c r="BG9" s="196">
        <f>IF(ISNUMBER((AY9+AZ9)/BA9),(AY9+AZ9)/BA9," - ")</f>
        <v>4.9546800947867302</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135</v>
      </c>
      <c r="J10" s="181">
        <v>59</v>
      </c>
      <c r="K10" s="181">
        <v>55</v>
      </c>
      <c r="L10" s="181">
        <v>139</v>
      </c>
      <c r="M10" s="181">
        <v>22</v>
      </c>
      <c r="N10" s="181">
        <v>22</v>
      </c>
      <c r="O10" s="181">
        <v>12</v>
      </c>
      <c r="P10" s="181">
        <v>10</v>
      </c>
      <c r="Q10" s="181">
        <v>11</v>
      </c>
      <c r="R10" s="181">
        <v>141</v>
      </c>
      <c r="S10" s="181">
        <v>115</v>
      </c>
      <c r="T10" s="181">
        <v>46</v>
      </c>
      <c r="U10" s="181">
        <v>38</v>
      </c>
      <c r="V10" s="181">
        <v>123</v>
      </c>
      <c r="W10" s="181">
        <v>10</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115</v>
      </c>
      <c r="AZ10" s="129">
        <f t="shared" si="0"/>
        <v>46</v>
      </c>
      <c r="BA10" s="129">
        <f t="shared" si="0"/>
        <v>38</v>
      </c>
      <c r="BB10" s="129">
        <f t="shared" si="0"/>
        <v>123</v>
      </c>
      <c r="BC10" s="125">
        <f t="shared" si="0"/>
        <v>10</v>
      </c>
      <c r="BD10" s="126">
        <f>IF(ISNUMBER(BA10/AZ10),BA10/AZ10," - ")</f>
        <v>0.82608695652173914</v>
      </c>
      <c r="BE10" s="127">
        <f>IF(ISNUMBER(BB10/BA10),BB10/BA10, " - ")</f>
        <v>3.236842105263158</v>
      </c>
      <c r="BF10" s="127">
        <f>IF(ISNUMBER(BC10/BA10),BC10/BA10, " - ")</f>
        <v>0.26315789473684209</v>
      </c>
      <c r="BG10" s="196">
        <f>IF(ISNUMBER((AY10+AZ10)/BA10),(AY10+AZ10)/BA10," - ")</f>
        <v>4.2368421052631575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1157</v>
      </c>
      <c r="J11" s="183">
        <v>571</v>
      </c>
      <c r="K11" s="183">
        <v>624</v>
      </c>
      <c r="L11" s="183">
        <v>1049</v>
      </c>
      <c r="M11" s="183">
        <v>294</v>
      </c>
      <c r="N11" s="183">
        <v>454</v>
      </c>
      <c r="O11" s="181">
        <v>237</v>
      </c>
      <c r="P11" s="183">
        <v>70</v>
      </c>
      <c r="Q11" s="183">
        <v>57</v>
      </c>
      <c r="R11" s="183">
        <v>884</v>
      </c>
      <c r="S11" s="183">
        <v>1074</v>
      </c>
      <c r="T11" s="183">
        <v>365</v>
      </c>
      <c r="U11" s="183">
        <v>421</v>
      </c>
      <c r="V11" s="183">
        <v>1019</v>
      </c>
      <c r="W11" s="183">
        <v>153</v>
      </c>
      <c r="X11" s="189">
        <v>354</v>
      </c>
      <c r="Y11" s="191">
        <v>48</v>
      </c>
      <c r="Z11" s="181">
        <v>329</v>
      </c>
      <c r="AA11" s="181">
        <v>293</v>
      </c>
      <c r="AB11" s="181">
        <v>84</v>
      </c>
      <c r="AC11" s="183">
        <v>0</v>
      </c>
      <c r="AD11" s="183">
        <v>0</v>
      </c>
      <c r="AE11" s="183">
        <v>0</v>
      </c>
      <c r="AF11" s="189">
        <v>0</v>
      </c>
      <c r="AG11" s="202">
        <v>21</v>
      </c>
      <c r="AH11" s="183">
        <v>263</v>
      </c>
      <c r="AI11" s="183">
        <v>255</v>
      </c>
      <c r="AJ11" s="203">
        <v>30</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1095</v>
      </c>
      <c r="AZ11" s="127">
        <f t="shared" si="1"/>
        <v>628</v>
      </c>
      <c r="BA11" s="127">
        <f t="shared" si="1"/>
        <v>676</v>
      </c>
      <c r="BB11" s="127">
        <f t="shared" si="1"/>
        <v>1049</v>
      </c>
      <c r="BC11" s="125">
        <f>IF(ISNUMBER(X11),X11," - ")</f>
        <v>354</v>
      </c>
      <c r="BD11" s="126">
        <f t="shared" ref="BD11:BD12" si="2">IF(ISNUMBER(BA11/AZ11),BA11/AZ11," - ")</f>
        <v>1.0764331210191083</v>
      </c>
      <c r="BE11" s="127">
        <f t="shared" ref="BE11:BE12" si="3">IF(ISNUMBER(BB11/BA11),BB11/BA11, " - ")</f>
        <v>1.5517751479289941</v>
      </c>
      <c r="BF11" s="127">
        <f t="shared" ref="BF11:BF12" si="4">IF(ISNUMBER(BC11/BA11),BC11/BA11, " - ")</f>
        <v>0.52366863905325445</v>
      </c>
      <c r="BG11" s="196">
        <f t="shared" ref="BG11:BG12" si="5">IF(ISNUMBER((AY11+AZ11)/BA11),(AY11+AZ11)/BA11," - ")</f>
        <v>2.5488165680473371</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16838</v>
      </c>
      <c r="J13" s="184">
        <f t="shared" si="6"/>
        <v>4970</v>
      </c>
      <c r="K13" s="184">
        <f t="shared" si="6"/>
        <v>4971</v>
      </c>
      <c r="L13" s="184">
        <f t="shared" si="6"/>
        <v>16780</v>
      </c>
      <c r="M13" s="184">
        <f t="shared" si="6"/>
        <v>1126</v>
      </c>
      <c r="N13" s="184">
        <f t="shared" si="6"/>
        <v>2418</v>
      </c>
      <c r="O13" s="184">
        <f t="shared" si="6"/>
        <v>2596</v>
      </c>
      <c r="P13" s="184">
        <f t="shared" si="6"/>
        <v>1232</v>
      </c>
      <c r="Q13" s="184">
        <f t="shared" si="6"/>
        <v>2085</v>
      </c>
      <c r="R13" s="184">
        <f t="shared" si="6"/>
        <v>17399</v>
      </c>
      <c r="S13" s="184">
        <f t="shared" si="6"/>
        <v>15744</v>
      </c>
      <c r="T13" s="184">
        <f t="shared" si="6"/>
        <v>2037</v>
      </c>
      <c r="U13" s="184">
        <f t="shared" si="6"/>
        <v>3701</v>
      </c>
      <c r="V13" s="184">
        <f t="shared" si="6"/>
        <v>14081</v>
      </c>
      <c r="W13" s="184">
        <f t="shared" si="6"/>
        <v>811</v>
      </c>
      <c r="X13" s="184">
        <f t="shared" si="6"/>
        <v>2171</v>
      </c>
      <c r="Y13" s="184">
        <f t="shared" si="6"/>
        <v>501</v>
      </c>
      <c r="Z13" s="184">
        <f t="shared" si="6"/>
        <v>515</v>
      </c>
      <c r="AA13" s="184">
        <f t="shared" si="6"/>
        <v>571</v>
      </c>
      <c r="AB13" s="184">
        <f t="shared" si="6"/>
        <v>445</v>
      </c>
      <c r="AC13" s="184">
        <f t="shared" si="6"/>
        <v>0</v>
      </c>
      <c r="AD13" s="184">
        <f t="shared" si="6"/>
        <v>0</v>
      </c>
      <c r="AE13" s="184">
        <f t="shared" si="6"/>
        <v>0</v>
      </c>
      <c r="AF13" s="184">
        <f>SUBTOTAL(9,AF9:AF12)</f>
        <v>0</v>
      </c>
      <c r="AG13" s="184">
        <f t="shared" ref="AG13:AT13" si="7">SUBTOTAL(9,AG8:AG12)</f>
        <v>468</v>
      </c>
      <c r="AH13" s="184">
        <f t="shared" si="7"/>
        <v>362</v>
      </c>
      <c r="AI13" s="184">
        <f t="shared" si="7"/>
        <v>389</v>
      </c>
      <c r="AJ13" s="184">
        <f t="shared" si="7"/>
        <v>442</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16212</v>
      </c>
      <c r="AZ13" s="184">
        <f>SUBTOTAL(9,AZ8:AZ12)</f>
        <v>2399</v>
      </c>
      <c r="BA13" s="184">
        <f>SUBTOTAL(9,BA8:BA12)</f>
        <v>4090</v>
      </c>
      <c r="BB13" s="184">
        <f>SUBTOTAL(9,BB8:BB12)</f>
        <v>14523</v>
      </c>
      <c r="BC13" s="184">
        <f>SUBTOTAL(9,BC8:BC12)</f>
        <v>2167</v>
      </c>
      <c r="BD13" s="205">
        <f>IF(ISNUMBER(BA13/AZ13),BA13/AZ13," - ")</f>
        <v>1.704877032096707</v>
      </c>
      <c r="BE13" s="206">
        <f>IF(ISNUMBER(BB13/BA13),BB13/BA13, " - ")</f>
        <v>3.5508557457212713</v>
      </c>
      <c r="BF13" s="206">
        <f>IF(ISNUMBER(BC13/BA13),BC13/BA13, " - ")</f>
        <v>0.52982885085574571</v>
      </c>
      <c r="BG13" s="207">
        <f>IF(ISNUMBER((AY13+AZ13)/BA13),(AY13+AZ13)/BA13," - ")</f>
        <v>4.5503667481662591</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6299</v>
      </c>
      <c r="J15" s="183">
        <v>3825</v>
      </c>
      <c r="K15" s="183">
        <v>3728</v>
      </c>
      <c r="L15" s="183">
        <v>6442</v>
      </c>
      <c r="M15" s="183">
        <v>486</v>
      </c>
      <c r="N15" s="183">
        <v>2385</v>
      </c>
      <c r="O15" s="181">
        <v>44</v>
      </c>
      <c r="P15" s="183">
        <v>167</v>
      </c>
      <c r="Q15" s="183">
        <v>89</v>
      </c>
      <c r="R15" s="183">
        <v>641</v>
      </c>
      <c r="S15" s="183">
        <v>5787</v>
      </c>
      <c r="T15" s="183">
        <v>3283</v>
      </c>
      <c r="U15" s="183">
        <v>3483</v>
      </c>
      <c r="V15" s="183">
        <v>5636</v>
      </c>
      <c r="W15" s="183">
        <v>323</v>
      </c>
      <c r="X15" s="189">
        <v>2172</v>
      </c>
      <c r="Y15" s="202">
        <v>0</v>
      </c>
      <c r="Z15" s="183">
        <v>0</v>
      </c>
      <c r="AA15" s="183">
        <v>0</v>
      </c>
      <c r="AB15" s="183">
        <v>0</v>
      </c>
      <c r="AC15" s="183">
        <v>4</v>
      </c>
      <c r="AD15" s="183">
        <v>74</v>
      </c>
      <c r="AE15" s="183">
        <v>67</v>
      </c>
      <c r="AF15" s="189">
        <v>11</v>
      </c>
      <c r="AG15" s="202">
        <v>0</v>
      </c>
      <c r="AH15" s="183">
        <v>0</v>
      </c>
      <c r="AI15" s="183">
        <v>0</v>
      </c>
      <c r="AJ15" s="203">
        <v>0</v>
      </c>
      <c r="AK15" s="182">
        <v>0</v>
      </c>
      <c r="AL15" s="183">
        <v>85</v>
      </c>
      <c r="AM15" s="183">
        <v>85</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5787</v>
      </c>
      <c r="AZ15" s="129">
        <f t="shared" si="9"/>
        <v>3283</v>
      </c>
      <c r="BA15" s="129">
        <f t="shared" si="9"/>
        <v>3483</v>
      </c>
      <c r="BB15" s="129">
        <f t="shared" si="9"/>
        <v>5636</v>
      </c>
      <c r="BC15" s="125">
        <f>IF(ISNUMBER(W15),W15," - ")</f>
        <v>323</v>
      </c>
      <c r="BD15" s="126">
        <f>IF(ISNUMBER(BA15/AZ15),BA15/AZ15," - ")</f>
        <v>1.0609198903441974</v>
      </c>
      <c r="BE15" s="127">
        <f>IF(ISNUMBER(BB15/BA15),BB15/BA15, " - ")</f>
        <v>1.6181452770600058</v>
      </c>
      <c r="BF15" s="127">
        <f>IF(ISNUMBER(BC15/BA15),BC15/BA15, " - ")</f>
        <v>9.2736146999712887E-2</v>
      </c>
      <c r="BG15" s="196">
        <f t="shared" ref="BG15:BG16" si="10">IF(ISNUMBER((AY15+AZ15)/BA15),(AY15+AZ15)/BA15," - ")</f>
        <v>2.6040769451622165</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242</v>
      </c>
      <c r="J17" s="183">
        <v>287</v>
      </c>
      <c r="K17" s="183">
        <v>301</v>
      </c>
      <c r="L17" s="183">
        <v>228</v>
      </c>
      <c r="M17" s="183">
        <v>24</v>
      </c>
      <c r="N17" s="183">
        <v>106</v>
      </c>
      <c r="O17" s="183">
        <v>0</v>
      </c>
      <c r="P17" s="183">
        <v>3</v>
      </c>
      <c r="Q17" s="183">
        <v>8</v>
      </c>
      <c r="R17" s="183">
        <v>9</v>
      </c>
      <c r="S17" s="183">
        <v>219</v>
      </c>
      <c r="T17" s="183">
        <v>273</v>
      </c>
      <c r="U17" s="183">
        <v>280</v>
      </c>
      <c r="V17" s="183">
        <v>212</v>
      </c>
      <c r="W17" s="183">
        <v>22</v>
      </c>
      <c r="X17" s="189">
        <v>127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219</v>
      </c>
      <c r="AZ17" s="129">
        <f t="shared" si="14"/>
        <v>273</v>
      </c>
      <c r="BA17" s="129">
        <f t="shared" si="14"/>
        <v>280</v>
      </c>
      <c r="BB17" s="129">
        <f t="shared" si="14"/>
        <v>212</v>
      </c>
      <c r="BC17" s="125">
        <f>IF(ISNUMBER(W17),W17," - ")</f>
        <v>22</v>
      </c>
      <c r="BD17" s="126">
        <f>IF(ISNUMBER(BA17/AZ17),BA17/AZ17," - ")</f>
        <v>1.0256410256410255</v>
      </c>
      <c r="BE17" s="127">
        <f>IF(ISNUMBER(BB17/BA17),BB17/BA17, " - ")</f>
        <v>0.75714285714285712</v>
      </c>
      <c r="BF17" s="127">
        <f>IF(ISNUMBER(BC17/BA17),BC17/BA17, " - ")</f>
        <v>7.857142857142857E-2</v>
      </c>
      <c r="BG17" s="196">
        <f>IF(ISNUMBER((AY17+AZ17)/BA17),(AY17+AZ17)/BA17," - ")</f>
        <v>1.7571428571428571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6541</v>
      </c>
      <c r="J18" s="184">
        <f t="shared" si="15"/>
        <v>4112</v>
      </c>
      <c r="K18" s="184">
        <f t="shared" si="15"/>
        <v>4029</v>
      </c>
      <c r="L18" s="184">
        <f t="shared" si="15"/>
        <v>6670</v>
      </c>
      <c r="M18" s="184">
        <f t="shared" si="15"/>
        <v>510</v>
      </c>
      <c r="N18" s="184">
        <f t="shared" si="15"/>
        <v>2491</v>
      </c>
      <c r="O18" s="184">
        <f t="shared" si="15"/>
        <v>44</v>
      </c>
      <c r="P18" s="184">
        <f t="shared" si="15"/>
        <v>170</v>
      </c>
      <c r="Q18" s="184">
        <f t="shared" si="15"/>
        <v>97</v>
      </c>
      <c r="R18" s="184">
        <f t="shared" si="15"/>
        <v>650</v>
      </c>
      <c r="S18" s="184">
        <f t="shared" si="15"/>
        <v>6006</v>
      </c>
      <c r="T18" s="184">
        <f t="shared" si="15"/>
        <v>3556</v>
      </c>
      <c r="U18" s="184">
        <f t="shared" si="15"/>
        <v>3763</v>
      </c>
      <c r="V18" s="184">
        <f t="shared" si="15"/>
        <v>5848</v>
      </c>
      <c r="W18" s="184">
        <f t="shared" si="15"/>
        <v>345</v>
      </c>
      <c r="X18" s="184">
        <f t="shared" si="15"/>
        <v>2299</v>
      </c>
      <c r="Y18" s="184">
        <f t="shared" si="15"/>
        <v>0</v>
      </c>
      <c r="Z18" s="184">
        <f t="shared" si="15"/>
        <v>0</v>
      </c>
      <c r="AA18" s="184">
        <f t="shared" si="15"/>
        <v>0</v>
      </c>
      <c r="AB18" s="184">
        <f t="shared" si="15"/>
        <v>0</v>
      </c>
      <c r="AC18" s="184">
        <f t="shared" si="15"/>
        <v>4</v>
      </c>
      <c r="AD18" s="184">
        <f t="shared" si="15"/>
        <v>74</v>
      </c>
      <c r="AE18" s="184">
        <f t="shared" si="15"/>
        <v>67</v>
      </c>
      <c r="AF18" s="184">
        <f t="shared" si="15"/>
        <v>11</v>
      </c>
      <c r="AG18" s="184">
        <f t="shared" si="15"/>
        <v>0</v>
      </c>
      <c r="AH18" s="184">
        <f t="shared" si="15"/>
        <v>0</v>
      </c>
      <c r="AI18" s="184">
        <f t="shared" si="15"/>
        <v>0</v>
      </c>
      <c r="AJ18" s="184">
        <f t="shared" si="15"/>
        <v>0</v>
      </c>
      <c r="AK18" s="184">
        <f t="shared" si="15"/>
        <v>0</v>
      </c>
      <c r="AL18" s="184">
        <f t="shared" si="15"/>
        <v>85</v>
      </c>
      <c r="AM18" s="184">
        <f t="shared" si="15"/>
        <v>85</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6006</v>
      </c>
      <c r="AZ18" s="184">
        <f>SUBTOTAL(9,AZ14:AZ17)</f>
        <v>3556</v>
      </c>
      <c r="BA18" s="184">
        <f>SUBTOTAL(9,BA14:BA17)</f>
        <v>3763</v>
      </c>
      <c r="BB18" s="184">
        <f>SUBTOTAL(9,BB14:BB17)</f>
        <v>5848</v>
      </c>
      <c r="BC18" s="184">
        <f>SUBTOTAL(9,BC14:BC17)</f>
        <v>345</v>
      </c>
      <c r="BD18" s="205">
        <f>IF(ISNUMBER(BA18/AZ18),BA18/AZ18," - ")</f>
        <v>1.0582114735658044</v>
      </c>
      <c r="BE18" s="206">
        <f>IF(ISNUMBER(BB18/BA18),BB18/BA18, " - ")</f>
        <v>1.5540791921339356</v>
      </c>
      <c r="BF18" s="206">
        <f>IF(ISNUMBER(BC18/BA18),BC18/BA18, " - ")</f>
        <v>9.1682168482593682E-2</v>
      </c>
      <c r="BG18" s="207">
        <f>IF(ISNUMBER((AY18+AZ18)/BA18),(AY18+AZ18)/BA18," - ")</f>
        <v>2.5410576667552487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23379</v>
      </c>
      <c r="J19" s="134">
        <f t="shared" si="18"/>
        <v>9082</v>
      </c>
      <c r="K19" s="134">
        <f t="shared" si="18"/>
        <v>9000</v>
      </c>
      <c r="L19" s="134">
        <f t="shared" si="18"/>
        <v>23450</v>
      </c>
      <c r="M19" s="134">
        <f t="shared" si="18"/>
        <v>1636</v>
      </c>
      <c r="N19" s="134">
        <f t="shared" si="18"/>
        <v>4909</v>
      </c>
      <c r="O19" s="134">
        <f t="shared" si="18"/>
        <v>2640</v>
      </c>
      <c r="P19" s="134">
        <f t="shared" si="18"/>
        <v>1402</v>
      </c>
      <c r="Q19" s="134">
        <f t="shared" si="18"/>
        <v>2182</v>
      </c>
      <c r="R19" s="134">
        <f t="shared" si="18"/>
        <v>18049</v>
      </c>
      <c r="S19" s="134">
        <f t="shared" si="18"/>
        <v>21750</v>
      </c>
      <c r="T19" s="134">
        <f t="shared" si="18"/>
        <v>5593</v>
      </c>
      <c r="U19" s="134">
        <f t="shared" si="18"/>
        <v>7464</v>
      </c>
      <c r="V19" s="134">
        <f t="shared" si="18"/>
        <v>19929</v>
      </c>
      <c r="W19" s="134">
        <f t="shared" si="18"/>
        <v>1156</v>
      </c>
      <c r="X19" s="134">
        <f t="shared" si="18"/>
        <v>4470</v>
      </c>
      <c r="Y19" s="134">
        <f t="shared" si="18"/>
        <v>501</v>
      </c>
      <c r="Z19" s="134">
        <f t="shared" si="18"/>
        <v>515</v>
      </c>
      <c r="AA19" s="134">
        <f t="shared" si="18"/>
        <v>571</v>
      </c>
      <c r="AB19" s="134">
        <f t="shared" si="18"/>
        <v>445</v>
      </c>
      <c r="AC19" s="134">
        <f t="shared" si="18"/>
        <v>4</v>
      </c>
      <c r="AD19" s="134">
        <f t="shared" si="18"/>
        <v>74</v>
      </c>
      <c r="AE19" s="134">
        <f t="shared" si="18"/>
        <v>67</v>
      </c>
      <c r="AF19" s="134">
        <f t="shared" si="18"/>
        <v>11</v>
      </c>
      <c r="AG19" s="134">
        <f t="shared" si="18"/>
        <v>468</v>
      </c>
      <c r="AH19" s="134">
        <f t="shared" si="18"/>
        <v>362</v>
      </c>
      <c r="AI19" s="134">
        <f t="shared" si="18"/>
        <v>389</v>
      </c>
      <c r="AJ19" s="134">
        <f t="shared" si="18"/>
        <v>442</v>
      </c>
      <c r="AK19" s="134">
        <f t="shared" si="18"/>
        <v>0</v>
      </c>
      <c r="AL19" s="134">
        <f t="shared" si="18"/>
        <v>85</v>
      </c>
      <c r="AM19" s="134">
        <f t="shared" si="18"/>
        <v>85</v>
      </c>
      <c r="AN19" s="210">
        <f t="shared" si="18"/>
        <v>0</v>
      </c>
      <c r="AO19" s="211">
        <v>16</v>
      </c>
      <c r="AP19" s="211">
        <v>16</v>
      </c>
      <c r="AQ19" s="211">
        <v>16</v>
      </c>
      <c r="AR19" s="211">
        <v>16</v>
      </c>
      <c r="AS19" s="153">
        <f t="shared" si="18"/>
        <v>0</v>
      </c>
      <c r="AT19" s="153">
        <f t="shared" si="18"/>
        <v>0</v>
      </c>
      <c r="AU19" s="211"/>
      <c r="AV19" s="212"/>
      <c r="AW19" s="211"/>
      <c r="AX19" s="212"/>
      <c r="AY19" s="133">
        <f>SUBTOTAL(9,AY9:AY18)</f>
        <v>22218</v>
      </c>
      <c r="AZ19" s="134">
        <f>SUBTOTAL(9,AZ9:AZ18)</f>
        <v>5955</v>
      </c>
      <c r="BA19" s="134">
        <f>SUBTOTAL(9,BA9:BA18)</f>
        <v>7853</v>
      </c>
      <c r="BB19" s="134">
        <f>SUBTOTAL(9,BB9:BB18)</f>
        <v>20371</v>
      </c>
      <c r="BC19" s="135">
        <f>SUBTOTAL(9,BC9:BC18)</f>
        <v>2512</v>
      </c>
      <c r="BD19" s="213">
        <f>IF(ISNUMBER(BA19/AZ19),BA19/AZ19," - ")</f>
        <v>1.3187237615449203</v>
      </c>
      <c r="BE19" s="210">
        <f>IF(ISNUMBER(BB19/BA19),BB19/BA19, " - ")</f>
        <v>2.5940404940786959</v>
      </c>
      <c r="BF19" s="210">
        <f>IF(ISNUMBER(BC19/BA19),BC19/BA19, " - ")</f>
        <v>0.31987775372469118</v>
      </c>
      <c r="BG19" s="135">
        <f>IF(ISNUMBER((AY19+AZ19)/BA19),(AY19+AZ19)/BA19," - ")</f>
        <v>3.587546160702916</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j3IVHNgpRBqpnUM6cZ0jMdzKpdn2beB7hsJkkHcWVcAeb6BpIN3aRf0LiRV1ZTMJY0kQG0EwWlyNg/SqnCEvQ==" saltValue="8Ie0E+pq6NGU057hLiRh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ikzds4+dSisp9fT/MSPSACNCib6IgfhuB/Sf4mPrR1QcptdOlGA7mxPFIKZ6qqdO1B3jadxNThgLJT16D3zkQ==" saltValue="yiHkazuMfI6H0DDYdkfI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SABADELL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186</v>
      </c>
      <c r="O9" s="334"/>
      <c r="P9" s="334"/>
      <c r="Q9" s="226">
        <f>IF(ISNUMBER(Datos!P9),Datos!P9,0)</f>
        <v>1152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2017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361</v>
      </c>
      <c r="AI9" s="334" t="str">
        <f>IF(ISNUMBER(Datos!CD9),Datos!CD9,"-")</f>
        <v>-</v>
      </c>
      <c r="AJ9" s="334" t="str">
        <f>IF(ISNUMBER(Datos!EN9),Datos!EN9," - ")</f>
        <v xml:space="preserve"> - </v>
      </c>
      <c r="AK9" s="334"/>
      <c r="AL9" s="479"/>
      <c r="AM9" s="335">
        <f>IF(ISNUMBER(Datos!R9),Datos!R9," - ")</f>
        <v>16374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810</v>
      </c>
      <c r="BD9" s="229">
        <f>IF(ISNUMBER(Datos!N9),Datos!N9," - ")</f>
        <v>1942</v>
      </c>
      <c r="BE9" s="229" t="str">
        <f>IF(ISNUMBER(Datos!BW9),Datos!BW9," - ")</f>
        <v xml:space="preserve"> - </v>
      </c>
      <c r="BF9" s="228" t="str">
        <f>IF(ISNUMBER(Datos!BX9),Datos!BX9," - ")</f>
        <v xml:space="preserve"> - </v>
      </c>
      <c r="BG9" s="243">
        <f>IF(ISNUMBER(IF(J_V="SI",Datos!K9/Datos!J9,(Datos!K9+Datos!AA9)/(Datos!J9+Datos!Z9))),IF(J_V="SI",Datos!K9/Datos!J9,(Datos!K9+Datos!AA9)/(Datos!J9+Datos!Z9))," - ")</f>
        <v>1.0097216084843128</v>
      </c>
      <c r="BH9" s="260">
        <f>IF(ISNUMBER(((IF(J_V="SI",Datos!L9/Datos!K9,(Datos!L9+Datos!AB9)/(Datos!K9+Datos!AA9)))*11)/factor_trimestre),((IF(J_V="SI",Datos!L9/Datos!K9,(Datos!L9+Datos!AB9)/(Datos!K9+Datos!AA9)))*11)/factor_trimestre," - ")</f>
        <v>10.472428884026259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-5.0176924415569348E-2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135</v>
      </c>
      <c r="G10" s="333">
        <f>IF(ISNUMBER(Datos!I10),Datos!I10," - ")</f>
        <v>135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55</v>
      </c>
      <c r="AC10" s="226">
        <f>IF(ISNUMBER(Datos!Q10),Datos!Q10," - ")</f>
        <v>11</v>
      </c>
      <c r="AD10" s="334"/>
      <c r="AE10" s="484"/>
      <c r="AF10" s="332">
        <f>IF(ISNUMBER(Datos!L10),Datos!L10,"-")</f>
        <v>139</v>
      </c>
      <c r="AG10" s="334"/>
      <c r="AH10" s="334"/>
      <c r="AI10" s="334"/>
      <c r="AJ10" s="334"/>
      <c r="AK10" s="334"/>
      <c r="AL10" s="479"/>
      <c r="AM10" s="335">
        <f>IF(ISNUMBER(Datos!R10),Datos!R10," - ")</f>
        <v>141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22</v>
      </c>
      <c r="BD10" s="229">
        <f>IF(ISNUMBER(Datos!N10),Datos!N10," - ")</f>
        <v>22</v>
      </c>
      <c r="BE10" s="229" t="str">
        <f>IF(ISNUMBER(Datos!BW10),Datos!BW10," - ")</f>
        <v xml:space="preserve"> - </v>
      </c>
      <c r="BF10" s="228" t="str">
        <f>IF(ISNUMBER(Datos!BX10),Datos!BX10," - ")</f>
        <v xml:space="preserve"> - </v>
      </c>
      <c r="BG10" s="243">
        <f>IF(ISNUMBER(Datos!K10/Datos!J10),Datos!K10/Datos!J10," - ")</f>
        <v>0.93220338983050843</v>
      </c>
      <c r="BH10" s="260">
        <f>IF(ISNUMBER(((Datos!L10/Datos!K10)*11)/factor_trimestre),((Datos!L10/Datos!K10)*11)/factor_trimestre," - ")</f>
        <v>7.581818181818182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-7.0422535211267607E-3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329</v>
      </c>
      <c r="O11" s="334"/>
      <c r="P11" s="334"/>
      <c r="Q11" s="226">
        <f>IF(ISNUMBER(Datos!P11),Datos!P11,0)</f>
        <v>70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57</v>
      </c>
      <c r="AD11" s="334"/>
      <c r="AE11" s="484"/>
      <c r="AF11" s="332" t="str">
        <f>IF(ISNUMBER(IF(J_V="SI",Datos!L11,Datos!L11+Datos!AB11)-IF(Monitorios="SI",Datos!CD11,0)),
                          IF(J_V="SI",Datos!L11,Datos!L11+Datos!AB11)-IF(Monitorios="SI",Datos!CD11,0),
                          " - ")</f>
        <v xml:space="preserve"> - </v>
      </c>
      <c r="AG11" s="334"/>
      <c r="AH11" s="334">
        <f>IF(ISNUMBER(Datos!AB11),Datos!AB11,"-")</f>
        <v>84</v>
      </c>
      <c r="AI11" s="334"/>
      <c r="AJ11" s="334"/>
      <c r="AK11" s="334"/>
      <c r="AL11" s="479"/>
      <c r="AM11" s="335">
        <f>IF(ISNUMBER(Datos!R11),Datos!R11," - ")</f>
        <v>884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294</v>
      </c>
      <c r="BD11" s="229">
        <f>IF(ISNUMBER(Datos!N11),Datos!N11," - ")</f>
        <v>454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1.018888888888889</v>
      </c>
      <c r="BH11" s="260">
        <f>IF(ISNUMBER(((IF(J_V="SI",Datos!L11/Datos!K11,(Datos!L11+Datos!AB11)/(Datos!K11+Datos!AA11)))*11)/factor_trimestre),((IF(J_V="SI",Datos!L11/Datos!K11,(Datos!L11+Datos!AB11)/(Datos!K11+Datos!AA11)))*11)/factor_trimestre," - ")</f>
        <v>3.706652126499455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1.4925373134328358E-2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11</v>
      </c>
      <c r="F13" s="898">
        <f t="shared" si="0"/>
        <v>135</v>
      </c>
      <c r="G13" s="898">
        <f t="shared" si="0"/>
        <v>135</v>
      </c>
      <c r="H13" s="899">
        <f t="shared" si="0"/>
        <v>0</v>
      </c>
      <c r="I13" s="898">
        <f t="shared" si="0"/>
        <v>0</v>
      </c>
      <c r="J13" s="867">
        <f t="shared" si="0"/>
        <v>0</v>
      </c>
      <c r="K13" s="867">
        <f t="shared" si="0"/>
        <v>0</v>
      </c>
      <c r="L13" s="899">
        <f t="shared" si="0"/>
        <v>0</v>
      </c>
      <c r="M13" s="899">
        <f t="shared" si="0"/>
        <v>0</v>
      </c>
      <c r="N13" s="899">
        <f t="shared" si="0"/>
        <v>515</v>
      </c>
      <c r="O13" s="900">
        <f t="shared" si="0"/>
        <v>0</v>
      </c>
      <c r="P13" s="900">
        <f t="shared" si="0"/>
        <v>0</v>
      </c>
      <c r="Q13" s="899">
        <f t="shared" si="0"/>
        <v>1232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55</v>
      </c>
      <c r="AC13" s="899">
        <f t="shared" si="1"/>
        <v>2085</v>
      </c>
      <c r="AD13" s="899">
        <f t="shared" si="1"/>
        <v>0</v>
      </c>
      <c r="AE13" s="899">
        <f t="shared" si="1"/>
        <v>0</v>
      </c>
      <c r="AF13" s="899">
        <f t="shared" si="1"/>
        <v>139</v>
      </c>
      <c r="AG13" s="899">
        <f t="shared" si="1"/>
        <v>0</v>
      </c>
      <c r="AH13" s="899">
        <f t="shared" si="1"/>
        <v>445</v>
      </c>
      <c r="AI13" s="899">
        <f t="shared" si="1"/>
        <v>0</v>
      </c>
      <c r="AJ13" s="899">
        <f t="shared" si="1"/>
        <v>0</v>
      </c>
      <c r="AK13" s="899">
        <f t="shared" si="1"/>
        <v>0</v>
      </c>
      <c r="AL13" s="899">
        <f t="shared" si="1"/>
        <v>0</v>
      </c>
      <c r="AM13" s="899">
        <f t="shared" si="1"/>
        <v>17399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1126</v>
      </c>
      <c r="BD13" s="899">
        <f t="shared" si="1"/>
        <v>2418</v>
      </c>
      <c r="BE13" s="899">
        <f t="shared" si="1"/>
        <v>0</v>
      </c>
      <c r="BF13" s="899">
        <f t="shared" si="1"/>
        <v>0</v>
      </c>
      <c r="BG13" s="899">
        <f>IF(ISNUMBER(Datos!K13/Datos!J13),Datos!K13/Datos!J13," - ")</f>
        <v>1.0002012072434607</v>
      </c>
      <c r="BH13" s="903">
        <f>IF(ISNUMBER(((Datos!L13/Datos!K13)*11)/factor_trimestre),((Datos!L13/Datos!K13)*11)/factor_trimestre," - ")</f>
        <v>10.126735063367532</v>
      </c>
      <c r="BI13" s="899">
        <f>IF(ISNUMBER('Resol  Asuntos'!D13/NºAsuntos!G13),'Resol  Asuntos'!D13/NºAsuntos!G13," - ")</f>
        <v>0.20317574882713821</v>
      </c>
      <c r="BJ13" s="899" t="str">
        <f>IF(ISNUMBER(Datos!CI13/Datos!CJ13),Datos!CI13/Datos!CJ13," - ")</f>
        <v xml:space="preserve"> - </v>
      </c>
      <c r="BK13" s="899">
        <f>SUBTOTAL(9,BK8:BK12)</f>
        <v>0</v>
      </c>
      <c r="BL13" s="899">
        <f>IF(ISNUMBER((I13-AB13+L13)/(F13)),(I13-AB13+L13)/(F13)," - ")</f>
        <v>-0.40740740740740738</v>
      </c>
      <c r="BM13" s="904">
        <f>SUBTOTAL(9,BM9:BM12)</f>
        <v>-4.2293804802367746E-2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6345</v>
      </c>
      <c r="G15" s="598">
        <f>IF(ISNUMBER(IF(D_I="SI",Datos!I15,Datos!I15+Datos!AC15)),IF(D_I="SI",Datos!I15,Datos!I15+Datos!AC15)," - ")</f>
        <v>6299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167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3728</v>
      </c>
      <c r="AC15" s="226">
        <f>IF(ISNUMBER(Datos!Q15),Datos!Q15," - ")</f>
        <v>89</v>
      </c>
      <c r="AD15" s="334"/>
      <c r="AE15" s="484"/>
      <c r="AF15" s="596">
        <f>IF(ISNUMBER(IF(D_I="SI",Datos!L15,Datos!L15+Datos!AF15)),IF(D_I="SI",Datos!L15,Datos!L15+Datos!AF15)," - ")</f>
        <v>6442</v>
      </c>
      <c r="AG15" s="334"/>
      <c r="AH15" s="334"/>
      <c r="AI15" s="334"/>
      <c r="AJ15" s="334"/>
      <c r="AK15" s="334"/>
      <c r="AL15" s="479"/>
      <c r="AM15" s="335">
        <f>IF(ISNUMBER(Datos!R15),Datos!R15," - ")</f>
        <v>641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486</v>
      </c>
      <c r="BD15" s="229">
        <f>IF(ISNUMBER(Datos!N15),Datos!N15," - ")</f>
        <v>2385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0.97464052287581704</v>
      </c>
      <c r="BH15" s="260">
        <f>IF(ISNUMBER(((IF(D_I="SI",Datos!L15/Datos!K15,(Datos!L15+Datos!AF15)/(Datos!K15+Datos!AE15)))*11)/factor_trimestre),((IF(D_I="SI",Datos!L15/Datos!K15,(Datos!L15+Datos!AF15)/(Datos!K15+Datos!AE15)))*11)/factor_trimestre," - ")</f>
        <v>5.1840128755364807</v>
      </c>
      <c r="BI15" s="243">
        <f>IF(ISNUMBER('Resol  Asuntos'!D15/NºAsuntos!G15),'Resol  Asuntos'!D15/NºAsuntos!G15," - ")</f>
        <v>0.13036480686695279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301</v>
      </c>
      <c r="AC17" s="226">
        <f>IF(ISNUMBER(Datos!Q17),Datos!Q17," - ")</f>
        <v>8</v>
      </c>
      <c r="AD17" s="334"/>
      <c r="AE17" s="484"/>
      <c r="AF17" s="332">
        <f>IF(ISNUMBER(Datos!L17),Datos!L17,"-")</f>
        <v>228</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24</v>
      </c>
      <c r="BD17" s="229">
        <f>IF(ISNUMBER(Datos!N17),Datos!N17," - ")</f>
        <v>106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1.0487804878048781</v>
      </c>
      <c r="BH17" s="260">
        <f>IF(ISNUMBER(((IF(D_I="SI",Datos!L17/Datos!K17,(Datos!L17+Datos!AF17)/(Datos!K17+Datos!AE17)))*11)/factor_trimestre),((IF(D_I="SI",Datos!L17/Datos!K17,(Datos!L17+Datos!AF17)/(Datos!K17+Datos!AE17)))*11)/factor_trimestre," - ")</f>
        <v>2.272425249169435</v>
      </c>
      <c r="BI17" s="243">
        <f>IF(ISNUMBER('Resol  Asuntos'!D17/NºAsuntos!G17),'Resol  Asuntos'!D17/NºAsuntos!G17," - ")</f>
        <v>7.9734219269102985E-2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6345</v>
      </c>
      <c r="G18" s="898">
        <f>SUBTOTAL(9,G15:G17)</f>
        <v>6541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4029</v>
      </c>
      <c r="AC18" s="899">
        <f t="shared" si="4"/>
        <v>97</v>
      </c>
      <c r="AD18" s="899">
        <f t="shared" si="4"/>
        <v>0</v>
      </c>
      <c r="AE18" s="899">
        <f t="shared" si="4"/>
        <v>0</v>
      </c>
      <c r="AF18" s="899">
        <f t="shared" si="4"/>
        <v>6670</v>
      </c>
      <c r="AG18" s="899">
        <f t="shared" si="4"/>
        <v>0</v>
      </c>
      <c r="AH18" s="899">
        <f t="shared" si="4"/>
        <v>0</v>
      </c>
      <c r="AI18" s="899">
        <f t="shared" si="4"/>
        <v>0</v>
      </c>
      <c r="AJ18" s="899">
        <f t="shared" si="4"/>
        <v>0</v>
      </c>
      <c r="AK18" s="899">
        <f t="shared" si="4"/>
        <v>0</v>
      </c>
      <c r="AL18" s="899">
        <f t="shared" si="4"/>
        <v>0</v>
      </c>
      <c r="AM18" s="899">
        <f t="shared" si="4"/>
        <v>650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510</v>
      </c>
      <c r="BD18" s="899">
        <f t="shared" si="4"/>
        <v>2491</v>
      </c>
      <c r="BE18" s="899">
        <f t="shared" si="4"/>
        <v>0</v>
      </c>
      <c r="BF18" s="899">
        <f t="shared" si="4"/>
        <v>0</v>
      </c>
      <c r="BG18" s="899">
        <f>IF(ISNUMBER(Datos!K18/Datos!J18),Datos!K18/Datos!J18," - ")</f>
        <v>0.97981517509727623</v>
      </c>
      <c r="BH18" s="903">
        <f>IF(ISNUMBER(((Datos!L18/Datos!K18)*11)/factor_trimestre),((Datos!L18/Datos!K18)*11)/factor_trimestre," - ")</f>
        <v>4.9664929262844373</v>
      </c>
      <c r="BI18" s="899">
        <f>SUBTOTAL(9,BI15:BI17)</f>
        <v>0.21009902613605577</v>
      </c>
      <c r="BJ18" s="899">
        <f>SUBTOTAL(9,BJ15:BJ17)</f>
        <v>0</v>
      </c>
      <c r="BK18" s="899">
        <f>SUBTOTAL(9,BK15:BK17)</f>
        <v>0</v>
      </c>
      <c r="BL18" s="899">
        <f>IF(ISNUMBER((I18-AB18+L18)/(F18)),(I18-AB18+L18)/(F18)," - ")</f>
        <v>-0.63498817966903076</v>
      </c>
      <c r="BM18" s="905">
        <f>IF(ISNUMBER((Datos!P18-Datos!Q18)/(Datos!R18-Datos!P18+Datos!Q18)),(Datos!P18-Datos!Q18)/(Datos!R18-Datos!P18+Datos!Q18)," - ")</f>
        <v>0.1265164644714038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17</v>
      </c>
      <c r="F19" s="820">
        <f t="shared" si="6"/>
        <v>6480</v>
      </c>
      <c r="G19" s="820">
        <f t="shared" si="6"/>
        <v>6676</v>
      </c>
      <c r="H19" s="822">
        <f t="shared" si="6"/>
        <v>0</v>
      </c>
      <c r="I19" s="820">
        <f t="shared" si="6"/>
        <v>0</v>
      </c>
      <c r="J19" s="822">
        <f t="shared" si="6"/>
        <v>0</v>
      </c>
      <c r="K19" s="822">
        <f t="shared" si="6"/>
        <v>0</v>
      </c>
      <c r="L19" s="881">
        <f t="shared" si="6"/>
        <v>0</v>
      </c>
      <c r="M19" s="881">
        <f t="shared" si="6"/>
        <v>0</v>
      </c>
      <c r="N19" s="881">
        <f t="shared" si="6"/>
        <v>515</v>
      </c>
      <c r="O19" s="881">
        <f t="shared" si="6"/>
        <v>0</v>
      </c>
      <c r="P19" s="881">
        <f t="shared" si="6"/>
        <v>0</v>
      </c>
      <c r="Q19" s="822">
        <f t="shared" si="6"/>
        <v>1402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4084</v>
      </c>
      <c r="AC19" s="821">
        <f t="shared" si="7"/>
        <v>2182</v>
      </c>
      <c r="AD19" s="821">
        <f t="shared" si="7"/>
        <v>0</v>
      </c>
      <c r="AE19" s="821">
        <f t="shared" si="7"/>
        <v>0</v>
      </c>
      <c r="AF19" s="828">
        <f t="shared" si="7"/>
        <v>6809</v>
      </c>
      <c r="AG19" s="828">
        <f t="shared" si="7"/>
        <v>0</v>
      </c>
      <c r="AH19" s="828">
        <f t="shared" si="7"/>
        <v>445</v>
      </c>
      <c r="AI19" s="828">
        <f t="shared" si="7"/>
        <v>0</v>
      </c>
      <c r="AJ19" s="821">
        <f t="shared" si="7"/>
        <v>0</v>
      </c>
      <c r="AK19" s="828">
        <f t="shared" si="7"/>
        <v>0</v>
      </c>
      <c r="AL19" s="828">
        <f t="shared" si="7"/>
        <v>0</v>
      </c>
      <c r="AM19" s="828">
        <f t="shared" si="7"/>
        <v>18049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1636</v>
      </c>
      <c r="BD19" s="820">
        <f t="shared" si="7"/>
        <v>4909</v>
      </c>
      <c r="BE19" s="820">
        <f t="shared" si="7"/>
        <v>0</v>
      </c>
      <c r="BF19" s="830">
        <f t="shared" si="7"/>
        <v>0</v>
      </c>
      <c r="BG19" s="915">
        <f>IF(ISNUMBER(Datos!K19/Datos!J19),Datos!K19/Datos!J19," - ")</f>
        <v>0.9909711517286941</v>
      </c>
      <c r="BH19" s="915">
        <f>IF(ISNUMBER(((Datos!L19/Datos!K19)*11)/factor_trimestre),((Datos!L19/Datos!K19)*11)/factor_trimestre," - ")</f>
        <v>7.8166666666666673</v>
      </c>
      <c r="BI19" s="813">
        <f>IF(ISNUMBER(Datos!J19/Datos!I19),Datos!J19/Datos!I19," - ")</f>
        <v>0.3884682835022884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-0.63024691358024687</v>
      </c>
      <c r="BM19" s="889">
        <f>IF(ISNUMBER((Datos!P19-Datos!Q19+R19)/(Datos!R19-Datos!P19+Datos!Q19-R19)),(Datos!P19-Datos!Q19+R19)/(Datos!R19-Datos!P19+Datos!Q19-R19)," - ")</f>
        <v>-4.1425460725476655E-2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2670.4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3.9299420408505319</v>
      </c>
      <c r="F21" s="551">
        <f>IF(ISNUMBER(STDEV(F8:F18)),STDEV(F8:F18),"-")</f>
        <v>3585.3451716675759</v>
      </c>
      <c r="G21" s="552">
        <f>IF(ISNUMBER(STDEV(G8:G18)),STDEV(G8:G18),"-")</f>
        <v>3424.2486475137871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2054.5213067768364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403.80311091044405</v>
      </c>
      <c r="BD21" s="551"/>
      <c r="BE21" s="551">
        <f>IF(ISNUMBER(STDEV(BE8:BE18)),STDEV(BE8:BE18),"-")</f>
        <v>0</v>
      </c>
      <c r="BF21" s="556">
        <f>IF(ISNUMBER(STDEV(BF8:BF18)),STDEV(BF8:BF18),"-")</f>
        <v>0</v>
      </c>
      <c r="BG21" s="775">
        <f>IF(ISNUMBER(STDEV(BG8:BG18)),STDEV(BG8:BG18),"-")</f>
        <v>3.7182477001637265E-2</v>
      </c>
      <c r="BH21" s="776">
        <f>IF(ISNUMBER(STDEV(BH8:BH18)),STDEV(BH8:BH18),"-")</f>
        <v>3.1533122233820241</v>
      </c>
      <c r="BI21" s="249">
        <f>IF(ISNUMBER(STDEV(BI8:BI18)),STDEV(BI8:BI18),"-")</f>
        <v>6.2251613934812766E-2</v>
      </c>
      <c r="BJ21" s="230" t="str">
        <f>IF(ISNUMBER(BL21/BM21),BL21/BM21," - ")</f>
        <v xml:space="preserve"> - </v>
      </c>
      <c r="BK21" s="575"/>
      <c r="BL21" s="559">
        <f>IF(ISNUMBER(STDEV(BL8:BL18)),STDEV(BL8:BL18),"-")</f>
        <v>0.16092390733386536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Z6kRZXfb5mHVHMsZITxuXC3makpnwXWIebdUmXRkmwtN5/e4qZlcgPAkcaIQWweTkZjQx0GKwPgcXV2CRXPiQ==" saltValue="h7FoiQ30tbn8i9QeYbP9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SABADELL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1152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2017</v>
      </c>
      <c r="AA9" s="332" t="str">
        <f>IF(ISNUMBER(IF(J_V="SI",Datos!L9,Datos!L9+Datos!AB9)-IF(Monitorios="SI",Datos!CD9,0)),
                          IF(J_V="SI",Datos!L9,Datos!L9+Datos!AB9)-IF(Monitorios="SI",Datos!CD9,0),
                          " - ")</f>
        <v xml:space="preserve"> - </v>
      </c>
      <c r="AB9" s="334"/>
      <c r="AC9" s="334"/>
      <c r="AD9" s="484"/>
      <c r="AE9" s="484">
        <f>IF(ISNUMBER(Datos!R9),Datos!R9," - ")</f>
        <v>16374</v>
      </c>
      <c r="AF9" s="229" t="str">
        <f>IF(ISNUMBER(Datos!BV9),Datos!BV9," - ")</f>
        <v xml:space="preserve"> - </v>
      </c>
      <c r="AG9" s="225" t="str">
        <f>IF(ISNUMBER(Datos!DV9),Datos!DV9," - ")</f>
        <v xml:space="preserve"> - </v>
      </c>
      <c r="AH9" s="298"/>
      <c r="AI9" s="227"/>
      <c r="AJ9" s="225">
        <f>IF(ISNUMBER(Datos!M9),Datos!M9," - ")</f>
        <v>810</v>
      </c>
      <c r="AK9" s="229">
        <f>IF(ISNUMBER(Datos!N9),Datos!N9," - ")</f>
        <v>1942</v>
      </c>
      <c r="AL9" s="229" t="str">
        <f>IF(ISNUMBER(Datos!BW9),Datos!BW9," - ")</f>
        <v xml:space="preserve"> - </v>
      </c>
      <c r="AM9" s="228" t="str">
        <f>IF(ISNUMBER(Datos!BX9),Datos!BX9," - ")</f>
        <v xml:space="preserve"> - </v>
      </c>
      <c r="AN9" s="243"/>
      <c r="AO9" s="260">
        <f>IF(ISNUMBER(((NºAsuntos!I9/NºAsuntos!G9)*11)/factor_trimestre),((NºAsuntos!I9/NºAsuntos!G9)*11)/factor_trimestre," - ")</f>
        <v>10.472428884026259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-5.0176924415569348E-2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135</v>
      </c>
      <c r="G10" s="225">
        <f>IF(ISNUMBER(Datos!I10),Datos!I10," - ")</f>
        <v>135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55</v>
      </c>
      <c r="Z10" s="619">
        <f>IF(ISNUMBER(Datos!Q10),Datos!Q10," - ")</f>
        <v>11</v>
      </c>
      <c r="AA10" s="332">
        <f>IF(ISNUMBER(Datos!L10),Datos!L10,"-")</f>
        <v>139</v>
      </c>
      <c r="AB10" s="334"/>
      <c r="AC10" s="334"/>
      <c r="AD10" s="484"/>
      <c r="AE10" s="484">
        <f>IF(ISNUMBER(Datos!R10),Datos!R10," - ")</f>
        <v>141</v>
      </c>
      <c r="AF10" s="229" t="str">
        <f>IF(ISNUMBER(Datos!BV10),Datos!BV10," - ")</f>
        <v xml:space="preserve"> - </v>
      </c>
      <c r="AG10" s="225" t="str">
        <f>IF(ISNUMBER(Datos!DV10),Datos!DV10," - ")</f>
        <v xml:space="preserve"> - </v>
      </c>
      <c r="AH10" s="298"/>
      <c r="AI10" s="227"/>
      <c r="AJ10" s="225">
        <f>IF(ISNUMBER(Datos!M10),Datos!M10," - ")</f>
        <v>22</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7.581818181818182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-7.0422535211267607E-3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57</v>
      </c>
      <c r="AA11" s="332" t="str">
        <f>IF(ISNUMBER(IF(J_V="SI",Datos!L11,Datos!L11+Datos!AB11)-IF(Monitorios="SI",Datos!CD11,0)),
                          IF(J_V="SI",Datos!L11,Datos!L11+Datos!AB11)-IF(Monitorios="SI",Datos!CD11,0),
                          " - ")</f>
        <v xml:space="preserve"> - </v>
      </c>
      <c r="AB11" s="334"/>
      <c r="AC11" s="334"/>
      <c r="AD11" s="484"/>
      <c r="AE11" s="484">
        <f>IF(ISNUMBER(Datos!R11),Datos!R11," - ")</f>
        <v>884</v>
      </c>
      <c r="AF11" s="229" t="str">
        <f>IF(ISNUMBER(Datos!BV11),Datos!BV11," - ")</f>
        <v xml:space="preserve"> - </v>
      </c>
      <c r="AG11" s="225" t="str">
        <f>IF(ISNUMBER(Datos!DV11),Datos!DV11," - ")</f>
        <v xml:space="preserve"> - </v>
      </c>
      <c r="AH11" s="298"/>
      <c r="AI11" s="227"/>
      <c r="AJ11" s="225">
        <f>IF(ISNUMBER(Datos!M11),Datos!M11," - ")</f>
        <v>294</v>
      </c>
      <c r="AK11" s="229">
        <f>IF(ISNUMBER(Datos!N11),Datos!N11," - ")</f>
        <v>454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3.706652126499455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1.4925373134328358E-2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11</v>
      </c>
      <c r="F13" s="898">
        <f>SUBTOTAL(9,F8:F12)</f>
        <v>135</v>
      </c>
      <c r="G13" s="898">
        <f>SUBTOTAL(9,G8:G12)</f>
        <v>135</v>
      </c>
      <c r="H13" s="908"/>
      <c r="I13" s="898">
        <f t="shared" ref="I13:N13" si="0">SUBTOTAL(9,I8:I12)</f>
        <v>0</v>
      </c>
      <c r="J13" s="867">
        <f t="shared" si="0"/>
        <v>0</v>
      </c>
      <c r="K13" s="908">
        <f t="shared" si="0"/>
        <v>0</v>
      </c>
      <c r="L13" s="908">
        <f t="shared" si="0"/>
        <v>0</v>
      </c>
      <c r="M13" s="908">
        <f t="shared" si="0"/>
        <v>0</v>
      </c>
      <c r="N13" s="908">
        <f t="shared" si="0"/>
        <v>1232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55</v>
      </c>
      <c r="Z13" s="907">
        <f t="shared" si="2"/>
        <v>2085</v>
      </c>
      <c r="AA13" s="900">
        <f t="shared" si="2"/>
        <v>139</v>
      </c>
      <c r="AB13" s="900">
        <f t="shared" si="2"/>
        <v>0</v>
      </c>
      <c r="AC13" s="900">
        <f t="shared" si="2"/>
        <v>0</v>
      </c>
      <c r="AD13" s="900">
        <f t="shared" si="2"/>
        <v>0</v>
      </c>
      <c r="AE13" s="900">
        <f t="shared" si="2"/>
        <v>17399</v>
      </c>
      <c r="AF13" s="908">
        <f t="shared" si="2"/>
        <v>0</v>
      </c>
      <c r="AG13" s="908">
        <f t="shared" si="2"/>
        <v>0</v>
      </c>
      <c r="AH13" s="908">
        <f t="shared" si="2"/>
        <v>0</v>
      </c>
      <c r="AI13" s="908">
        <f t="shared" si="2"/>
        <v>0</v>
      </c>
      <c r="AJ13" s="908">
        <f t="shared" si="2"/>
        <v>1126</v>
      </c>
      <c r="AK13" s="908">
        <f t="shared" si="2"/>
        <v>2418</v>
      </c>
      <c r="AL13" s="908">
        <f t="shared" si="2"/>
        <v>0</v>
      </c>
      <c r="AM13" s="908">
        <f t="shared" si="2"/>
        <v>0</v>
      </c>
      <c r="AN13" s="908">
        <f t="shared" si="2"/>
        <v>0</v>
      </c>
      <c r="AO13" s="904">
        <f>IF(ISNUMBER(((NºAsuntos!I13/NºAsuntos!G13)*11)/factor_trimestre),((NºAsuntos!I13/NºAsuntos!G13)*11)/factor_trimestre," - ")</f>
        <v>9.3242511728617838</v>
      </c>
      <c r="AP13" s="910" t="str">
        <f>IF(ISNUMBER(Datos!CI13/Datos!CJ13),Datos!CI13/Datos!CJ13," - ")</f>
        <v xml:space="preserve"> - </v>
      </c>
      <c r="AQ13" s="928">
        <f t="shared" ref="AQ13:AV13" si="3">SUBTOTAL(9,AQ9:AQ12)</f>
        <v>0</v>
      </c>
      <c r="AR13" s="928">
        <f t="shared" si="3"/>
        <v>-4.2293804802367746E-2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6345</v>
      </c>
      <c r="G15" s="225">
        <f>IF(ISNUMBER(IF(D_I="SI",Datos!I15,Datos!I15+Datos!AC15)),IF(D_I="SI",Datos!I15,Datos!I15+Datos!AC15)," - ")</f>
        <v>6299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167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3728</v>
      </c>
      <c r="Z15" s="619">
        <f>IF(ISNUMBER(Datos!Q15),Datos!Q15," - ")</f>
        <v>89</v>
      </c>
      <c r="AA15" s="332">
        <f>IF(ISNUMBER(IF(D_I="SI",Datos!L15,Datos!L15+Datos!AF15)),IF(D_I="SI",Datos!L15,Datos!L15+Datos!AF15)," - ")</f>
        <v>6442</v>
      </c>
      <c r="AB15" s="334"/>
      <c r="AC15" s="334"/>
      <c r="AD15" s="484"/>
      <c r="AE15" s="484">
        <f>IF(ISNUMBER(Datos!R15),Datos!R15," - ")</f>
        <v>641</v>
      </c>
      <c r="AF15" s="229" t="str">
        <f>IF(ISNUMBER(Datos!BV15),Datos!BV15," - ")</f>
        <v xml:space="preserve"> - </v>
      </c>
      <c r="AG15" s="225"/>
      <c r="AH15" s="298"/>
      <c r="AI15" s="227"/>
      <c r="AJ15" s="225">
        <f>IF(ISNUMBER(Datos!M15),Datos!M15," - ")</f>
        <v>486</v>
      </c>
      <c r="AK15" s="229">
        <f>IF(ISNUMBER(Datos!N15),Datos!N15," - ")</f>
        <v>2385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5.1840128755364807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301</v>
      </c>
      <c r="Z17" s="619">
        <f>IF(ISNUMBER(Datos!Q17),Datos!Q17," - ")</f>
        <v>8</v>
      </c>
      <c r="AA17" s="332">
        <f>IF(ISNUMBER(Datos!L17),Datos!L17,"-")</f>
        <v>228</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24</v>
      </c>
      <c r="AK17" s="229">
        <f>IF(ISNUMBER(Datos!N17),Datos!N17," - ")</f>
        <v>106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2.272425249169435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6345</v>
      </c>
      <c r="G18" s="898">
        <f>SUBTOTAL(9,G15:G17)</f>
        <v>6541</v>
      </c>
      <c r="H18" s="932">
        <f>SUBTOTAL(9,H15:H17)</f>
        <v>0</v>
      </c>
      <c r="I18" s="911">
        <f>SUBTOTAL(9,I15:I17)</f>
        <v>0</v>
      </c>
      <c r="J18" s="867">
        <f>SUBTOTAL(9,J14:J17)</f>
        <v>0</v>
      </c>
      <c r="K18" s="932">
        <f t="shared" ref="K18:S18" si="4">SUBTOTAL(9,K15:K17)</f>
        <v>0</v>
      </c>
      <c r="L18" s="932">
        <f t="shared" si="4"/>
        <v>0</v>
      </c>
      <c r="M18" s="932">
        <f t="shared" si="4"/>
        <v>0</v>
      </c>
      <c r="N18" s="932">
        <f t="shared" si="4"/>
        <v>170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4029</v>
      </c>
      <c r="Z18" s="932">
        <f t="shared" si="5"/>
        <v>97</v>
      </c>
      <c r="AA18" s="932">
        <f t="shared" si="5"/>
        <v>6670</v>
      </c>
      <c r="AB18" s="932">
        <f t="shared" si="5"/>
        <v>0</v>
      </c>
      <c r="AC18" s="932">
        <f t="shared" si="5"/>
        <v>0</v>
      </c>
      <c r="AD18" s="932">
        <f t="shared" si="5"/>
        <v>0</v>
      </c>
      <c r="AE18" s="932">
        <f t="shared" si="5"/>
        <v>650</v>
      </c>
      <c r="AF18" s="932">
        <f t="shared" si="5"/>
        <v>0</v>
      </c>
      <c r="AG18" s="932">
        <f t="shared" si="5"/>
        <v>0</v>
      </c>
      <c r="AH18" s="932">
        <f t="shared" si="5"/>
        <v>0</v>
      </c>
      <c r="AI18" s="932">
        <f t="shared" si="5"/>
        <v>0</v>
      </c>
      <c r="AJ18" s="932">
        <f t="shared" si="5"/>
        <v>510</v>
      </c>
      <c r="AK18" s="932">
        <f t="shared" si="5"/>
        <v>2491</v>
      </c>
      <c r="AL18" s="932">
        <f t="shared" si="5"/>
        <v>0</v>
      </c>
      <c r="AM18" s="932">
        <f t="shared" si="5"/>
        <v>0</v>
      </c>
      <c r="AN18" s="932">
        <f t="shared" si="5"/>
        <v>0</v>
      </c>
      <c r="AO18" s="934">
        <f>IF(ISNUMBER(((NºAsuntos!I18/NºAsuntos!G18)*11)/factor_trimestre),((NºAsuntos!I18/NºAsuntos!G18)*11)/factor_trimestre," - ")</f>
        <v>4.9664929262844373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17</v>
      </c>
      <c r="F19" s="820">
        <f t="shared" si="7"/>
        <v>6480</v>
      </c>
      <c r="G19" s="820">
        <f t="shared" si="7"/>
        <v>6676</v>
      </c>
      <c r="H19" s="821">
        <f t="shared" si="7"/>
        <v>0</v>
      </c>
      <c r="I19" s="820">
        <f t="shared" si="7"/>
        <v>0</v>
      </c>
      <c r="J19" s="822">
        <f t="shared" si="7"/>
        <v>0</v>
      </c>
      <c r="K19" s="820">
        <f t="shared" si="7"/>
        <v>0</v>
      </c>
      <c r="L19" s="823">
        <f t="shared" si="7"/>
        <v>0</v>
      </c>
      <c r="M19" s="820">
        <f t="shared" si="7"/>
        <v>0</v>
      </c>
      <c r="N19" s="821">
        <f t="shared" si="7"/>
        <v>1402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4084</v>
      </c>
      <c r="Z19" s="827">
        <f t="shared" si="8"/>
        <v>2182</v>
      </c>
      <c r="AA19" s="828">
        <f t="shared" si="8"/>
        <v>6809</v>
      </c>
      <c r="AB19" s="828">
        <f t="shared" si="8"/>
        <v>0</v>
      </c>
      <c r="AC19" s="828">
        <f t="shared" si="8"/>
        <v>0</v>
      </c>
      <c r="AD19" s="829">
        <f t="shared" si="8"/>
        <v>0</v>
      </c>
      <c r="AE19" s="829">
        <f t="shared" si="8"/>
        <v>18049</v>
      </c>
      <c r="AF19" s="830">
        <f t="shared" si="8"/>
        <v>0</v>
      </c>
      <c r="AG19" s="831">
        <f t="shared" si="8"/>
        <v>0</v>
      </c>
      <c r="AH19" s="832">
        <f t="shared" si="8"/>
        <v>0</v>
      </c>
      <c r="AI19" s="830">
        <f t="shared" si="8"/>
        <v>0</v>
      </c>
      <c r="AJ19" s="820">
        <f t="shared" si="8"/>
        <v>1636</v>
      </c>
      <c r="AK19" s="820">
        <f t="shared" si="8"/>
        <v>4909</v>
      </c>
      <c r="AL19" s="820">
        <f t="shared" si="8"/>
        <v>0</v>
      </c>
      <c r="AM19" s="833">
        <f t="shared" si="8"/>
        <v>0</v>
      </c>
      <c r="AN19" s="823">
        <f>IF(ISNUMBER(Datos!K19/Datos!J19),Datos!K19/Datos!J19," - ")</f>
        <v>0.9909711517286941</v>
      </c>
      <c r="AO19" s="823">
        <f>IF(ISNUMBER(FIND("06",Criterios!A8,1)),(IF(ISNUMBER(((Datos!R19/Datos!Q19)*11)/factor_trimestre),((Datos!R19/Datos!Q19)*11)/factor_trimestre," - ")),(IF(ISNUMBER(((Datos!L19/Datos!K19)*11)/factor_trimestre),((Datos!L19/Datos!K19)*11)/factor_trimestre," - ")))</f>
        <v>7.8166666666666673</v>
      </c>
      <c r="AP19" s="834" t="str">
        <f>IF(ISNUMBER(Datos!CI19/Datos!CJ19),Datos!CI19/Datos!CJ19," - ")</f>
        <v xml:space="preserve"> - </v>
      </c>
      <c r="AQ19" s="834">
        <f>IF(OR(ISNUMBER(FIND("01",Criterios!A8,1)),ISNUMBER(FIND("02",Criterios!A8,1)),ISNUMBER(FIND("03",Criterios!A8,1)),ISNUMBER(FIND("04",Criterios!A8,1))),(J19-Y19+K19)/(F19-K19),(I19-Y19+K19)/(F19-K19))</f>
        <v>-0.63024691358024687</v>
      </c>
      <c r="AR19" s="834">
        <f>IF(ISNUMBER((Datos!P19-Datos!Q19+O19)/(Datos!R19-Datos!P19+Datos!Q19-O19)),(Datos!P19-Datos!Q19+O19)/(Datos!R19-Datos!P19+Datos!Q19-O19)," - ")</f>
        <v>-4.1425460725476655E-2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2670.4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3585.3451716675759</v>
      </c>
      <c r="G21" s="552">
        <f>IF(ISNUMBER(STDEV(G8:G18)),STDEV(G8:G18),"-")</f>
        <v>3424.2486475137871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403.80311091044405</v>
      </c>
      <c r="AK21" s="252"/>
      <c r="AL21" s="252">
        <f>IF(ISNUMBER(STDEV(AL8:AL18)),STDEV(AL8:AL18),"-")</f>
        <v>0</v>
      </c>
      <c r="AM21" s="254">
        <f>IF(ISNUMBER(STDEV(AM8:AM18)),STDEV(AM8:AM18),"-")</f>
        <v>0</v>
      </c>
      <c r="AN21" s="539">
        <f>IF(ISNUMBER(STDEV(AN8:AN18)),STDEV(AN8:AN18),"-")</f>
        <v>0</v>
      </c>
      <c r="AO21" s="540">
        <f>IF(ISNUMBER(STDEV(AO8:AO18)),STDEV(AO8:AO18),"-")</f>
        <v>3.0032966117389042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KyExzu00L2xpxpughrlkjxEGWCwxmeLj0ppNTHiwRq9x73JZtFy31drOEQhpJ+15eTZpsf4vN2lp0wyycIOeQ==" saltValue="zgp3UrFHyFoI+hkd9PQZ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8h7TNxdLn+/HB2o49I1hsWYdiH4YdB/7FhLaa7c/+bo6/Qk+hYw6AhFz8AgyEsSShokOXpH+uaipg8KcZT6+iQ==" saltValue="Kr4M5nGhzOQnjvhrKfmD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PiOTthdZarfpa3dKg0nEmUbYB0KCAoQpdxwnCuUsmf+VEYnYDhQquONkh2/QBgsn8CeqYj4IEsS65PVJHW4Hg==" saltValue="+j5OEpHIUVbaQ1EX9rNl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SABADELL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0.20317574882713821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0.14366694976832417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zXKM2npbplMfnSjCPPDp3BP4UuG0i0lyX54hkTDQsiUNSD5Mc6ysDSXL6a5SySoJIkL3BOxtrZ5whN4VuBwEA==" saltValue="FL/0RvNwc0pT3WjOKH69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mpcZ+RKjQZfKydgo1tPzSwl8Wgob+/nzjbESk4nroJIIE58OpbM1blzvT49cWy/8ij3qk9uu9NRa6vKfEi99Q==" saltValue="lgC9b6KvmdQunqjG/fm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SABADELL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8</v>
      </c>
      <c r="C9" s="403">
        <f>IF(ISNUMBER(IF(J_V="SI",Datos!I9,Datos!I9+Datos!Y9)),IF(J_V="SI",Datos!I9,Datos!I9+Datos!Y9)," - ")</f>
        <v>15999</v>
      </c>
      <c r="D9" s="404">
        <f>IF(ISNUMBER(C9/Datos!BH9),C9/Datos!BH9," - ")</f>
        <v>1999.875</v>
      </c>
      <c r="E9" s="403">
        <f>IF(ISNUMBER(IF(J_V="SI",Datos!J9,Datos!J9+Datos!Z9)),IF(J_V="SI",Datos!J9,Datos!J9+Datos!Z9)," - ")</f>
        <v>4526</v>
      </c>
      <c r="F9" s="404">
        <f>IF(ISNUMBER(E9/B9),E9/B9," - ")</f>
        <v>565.75</v>
      </c>
      <c r="G9" s="403">
        <f>IF(ISNUMBER(IF(J_V="SI",Datos!K9,Datos!K9+Datos!AA9)),IF(J_V="SI",Datos!K9,Datos!K9+Datos!AA9)," - ")</f>
        <v>4570</v>
      </c>
      <c r="H9" s="404">
        <f>IF(ISNUMBER(G9/B9),G9/B9," - ")</f>
        <v>571.25</v>
      </c>
      <c r="I9" s="403">
        <f>IF(ISNUMBER(IF(J_V="SI",Datos!L9,Datos!L9+Datos!AB9)),IF(J_V="SI",Datos!L9,Datos!L9+Datos!AB9)," - ")</f>
        <v>15953</v>
      </c>
      <c r="J9" s="404">
        <f>IF(ISNUMBER(I9/B9),I9/B9," - ")</f>
        <v>1994.125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135</v>
      </c>
      <c r="D10" s="404">
        <f>IF(ISNUMBER(C10/Datos!BH10),C10/Datos!BH10," - ")</f>
        <v>135</v>
      </c>
      <c r="E10" s="403">
        <f>IF(ISNUMBER(Datos!J10),Datos!J10," - ")</f>
        <v>59</v>
      </c>
      <c r="F10" s="404">
        <f>IF(ISNUMBER(E10/B10),E10/B10," - ")</f>
        <v>59</v>
      </c>
      <c r="G10" s="403">
        <f>IF(ISNUMBER(Datos!K10),Datos!K10," - ")</f>
        <v>55</v>
      </c>
      <c r="H10" s="404">
        <f>IF(ISNUMBER(G10/B10),G10/B10," - ")</f>
        <v>55</v>
      </c>
      <c r="I10" s="403">
        <f>IF(ISNUMBER(Datos!L10),Datos!L10," - ")</f>
        <v>139</v>
      </c>
      <c r="J10" s="404">
        <f>IF(ISNUMBER(I10/B10),I10/B10," - ")</f>
        <v>139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1205</v>
      </c>
      <c r="D11" s="404">
        <f>IF(ISNUMBER(C11/Datos!BH11),C11/Datos!BH11," - ")</f>
        <v>602.5</v>
      </c>
      <c r="E11" s="403">
        <f>IF(ISNUMBER(IF(J_V="SI",Datos!J11,Datos!J11+Datos!Z11)),IF(J_V="SI",Datos!J11,Datos!J11+Datos!Z11)," - ")</f>
        <v>900</v>
      </c>
      <c r="F11" s="404">
        <f>IF(ISNUMBER(E11/B11),E11/B11," - ")</f>
        <v>450</v>
      </c>
      <c r="G11" s="403">
        <f>IF(ISNUMBER(IF(J_V="SI",Datos!K11,Datos!K11+Datos!AA11)),IF(J_V="SI",Datos!K11,Datos!K11+Datos!AA11)," - ")</f>
        <v>917</v>
      </c>
      <c r="H11" s="404">
        <f>IF(ISNUMBER(G11/B11),G11/B11," - ")</f>
        <v>458.5</v>
      </c>
      <c r="I11" s="403">
        <f>IF(ISNUMBER(IF(J_V="SI",Datos!L11,Datos!L11+Datos!AB11)),IF(J_V="SI",Datos!L11,Datos!L11+Datos!AB11)," - ")</f>
        <v>1133</v>
      </c>
      <c r="J11" s="404">
        <f>IF(ISNUMBER(I11/B11),I11/B11," - ")</f>
        <v>566.5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11</v>
      </c>
      <c r="C13" s="849">
        <f>SUBTOTAL(9,C8:C12)</f>
        <v>17339</v>
      </c>
      <c r="D13" s="850" t="str">
        <f>IF(ISNUMBER(C13/Datos!BI13),C13/Datos!BI13," - ")</f>
        <v xml:space="preserve"> - </v>
      </c>
      <c r="E13" s="849">
        <f>SUBTOTAL(9,E8:E12)</f>
        <v>5485</v>
      </c>
      <c r="F13" s="850">
        <f>IF(ISNUMBER(E13/B13),E13/B13," - ")</f>
        <v>498.63636363636363</v>
      </c>
      <c r="G13" s="849">
        <f>SUBTOTAL(9,G8:G12)</f>
        <v>5542</v>
      </c>
      <c r="H13" s="850">
        <f>IF(ISNUMBER(G13/B13),G13/B13," - ")</f>
        <v>503.81818181818181</v>
      </c>
      <c r="I13" s="849">
        <f>SUBTOTAL(9,I8:I12)</f>
        <v>17225</v>
      </c>
      <c r="J13" s="850">
        <f>IF(ISNUMBER(I13/B13),I13/B13," - ")</f>
        <v>1565.909090909091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6299</v>
      </c>
      <c r="D15" s="404">
        <f>IF(ISNUMBER(C15/Datos!BH15),C15/Datos!BH15," - ")</f>
        <v>1259.8</v>
      </c>
      <c r="E15" s="403">
        <f>IF(ISNUMBER(IF(D_I="SI",Datos!J15,Datos!J15+Datos!AD15)),IF(D_I="SI",Datos!J15,Datos!J15+Datos!AD15)," - ")</f>
        <v>3825</v>
      </c>
      <c r="F15" s="404">
        <f>IF(ISNUMBER(E15/B15),E15/B15," - ")</f>
        <v>765</v>
      </c>
      <c r="G15" s="403">
        <f>IF(ISNUMBER(IF(D_I="SI",Datos!K15,Datos!K15+Datos!AE15)),IF(D_I="SI",Datos!K15,Datos!K15+Datos!AE15)," - ")</f>
        <v>3728</v>
      </c>
      <c r="H15" s="404">
        <f>IF(ISNUMBER(G15/B15),G15/B15," - ")</f>
        <v>745.6</v>
      </c>
      <c r="I15" s="403">
        <f>IF(ISNUMBER(IF(D_I="SI",Datos!L15,Datos!L15+Datos!AF15)),IF(D_I="SI",Datos!L15,Datos!L15+Datos!AF15)," - ")</f>
        <v>6442</v>
      </c>
      <c r="J15" s="404">
        <f>IF(ISNUMBER(I15/B15),I15/B15," - ")</f>
        <v>1288.4000000000001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242</v>
      </c>
      <c r="D17" s="404">
        <f>IF(ISNUMBER(C17/Datos!BH17),C17/Datos!BH17," - ")</f>
        <v>242</v>
      </c>
      <c r="E17" s="403">
        <f>IF(ISNUMBER(IF(D_I="SI",Datos!J17,Datos!J17+Datos!AD17)),IF(D_I="SI",Datos!J17,Datos!J17+Datos!AD17)," - ")</f>
        <v>287</v>
      </c>
      <c r="F17" s="404">
        <f>IF(ISNUMBER(E17/B17),E17/B17," - ")</f>
        <v>287</v>
      </c>
      <c r="G17" s="403">
        <f>IF(ISNUMBER(IF(D_I="SI",Datos!K17,Datos!K17+Datos!AE17)),IF(D_I="SI",Datos!K17,Datos!K17+Datos!AE17)," - ")</f>
        <v>301</v>
      </c>
      <c r="H17" s="404">
        <f>IF(ISNUMBER(G17/B17),G17/B17," - ")</f>
        <v>301</v>
      </c>
      <c r="I17" s="403">
        <f>IF(ISNUMBER(IF(D_I="SI",Datos!L17,Datos!L17+Datos!AF17)),IF(D_I="SI",Datos!L17,Datos!L17+Datos!AF17)," - ")</f>
        <v>228</v>
      </c>
      <c r="J17" s="404">
        <f>IF(ISNUMBER(I17/B17),I17/B17," - ")</f>
        <v>228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6541</v>
      </c>
      <c r="D18" s="850" t="str">
        <f>IF(ISNUMBER(C18/Datos!BI18),C18/Datos!BI18," - ")</f>
        <v xml:space="preserve"> - </v>
      </c>
      <c r="E18" s="849">
        <f>SUBTOTAL(9,E14:E17)</f>
        <v>4112</v>
      </c>
      <c r="F18" s="850">
        <f>IF(ISNUMBER(E18/B18),E18/B18," - ")</f>
        <v>685.33333333333337</v>
      </c>
      <c r="G18" s="849">
        <f>SUBTOTAL(9,G14:G17)</f>
        <v>4029</v>
      </c>
      <c r="H18" s="850">
        <f>IF(ISNUMBER(G18/B18),G18/B18," - ")</f>
        <v>671.5</v>
      </c>
      <c r="I18" s="849">
        <f>SUBTOTAL(9,I14:I17)</f>
        <v>6670</v>
      </c>
      <c r="J18" s="850">
        <f>IF(ISNUMBER(I18/B18),I18/B18," - ")</f>
        <v>1111.6666666666667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16</v>
      </c>
      <c r="C19" s="794">
        <f>SUBTOTAL(9,C9:C18)</f>
        <v>23880</v>
      </c>
      <c r="D19" s="795" t="str">
        <f>IF(ISNUMBER(C19/Datos!BI19),C19/Datos!BI19," - ")</f>
        <v xml:space="preserve"> - </v>
      </c>
      <c r="E19" s="794">
        <f>SUBTOTAL(9,E9:E18)</f>
        <v>9597</v>
      </c>
      <c r="F19" s="795">
        <f>IF(ISNUMBER(E19/B19),E19/B19," - ")</f>
        <v>599.8125</v>
      </c>
      <c r="G19" s="794">
        <f>SUBTOTAL(9,G9:G18)</f>
        <v>9571</v>
      </c>
      <c r="H19" s="795">
        <f>IF(ISNUMBER(G19/B19),G19/B19," - ")</f>
        <v>598.1875</v>
      </c>
      <c r="I19" s="794">
        <f>SUBTOTAL(9,I9:I18)</f>
        <v>23895</v>
      </c>
      <c r="J19" s="795">
        <f>IF(ISNUMBER(I19/B19),I19/B19," - ")</f>
        <v>1493.4375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16X2FTJkJYDNnpCA0Wfv6vwNL2N/8hb71Xlf5nLlw0QV5TWLtUpyipXTmTQ1I7UmehbnZf7qnGsUdLg1GCexw==" saltValue="4EhZnrDw6GQDO1ahAw5V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SABADELL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135</v>
      </c>
      <c r="G10" s="684">
        <f>IF(ISNUMBER(Datos!I10),Datos!I10," - ")</f>
        <v>135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55</v>
      </c>
      <c r="AC10" s="683" t="str">
        <f>IF(ISNUMBER(IF(D_I="SI",DatosP!K17,DatosP!K17+DatosP!AE17)),IF(D_I="SI",DatosP!K17,DatosP!K17+DatosP!AE17)," - ")</f>
        <v xml:space="preserve"> - </v>
      </c>
      <c r="AD10" s="685"/>
      <c r="AE10" s="685"/>
      <c r="AF10" s="688">
        <f>IF(ISNUMBER(Datos!L10),Datos!L10,"-")</f>
        <v>139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22</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7.581818181818182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11</v>
      </c>
      <c r="F13" s="938">
        <f t="shared" si="0"/>
        <v>135</v>
      </c>
      <c r="G13" s="938">
        <f t="shared" si="0"/>
        <v>135</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55</v>
      </c>
      <c r="AC13" s="939">
        <f t="shared" si="1"/>
        <v>0</v>
      </c>
      <c r="AD13" s="939">
        <f t="shared" si="1"/>
        <v>0</v>
      </c>
      <c r="AE13" s="939">
        <f t="shared" si="1"/>
        <v>0</v>
      </c>
      <c r="AF13" s="939">
        <f t="shared" si="1"/>
        <v>139</v>
      </c>
      <c r="AG13" s="939">
        <f t="shared" si="1"/>
        <v>0</v>
      </c>
      <c r="AH13" s="939">
        <f t="shared" si="1"/>
        <v>0</v>
      </c>
      <c r="AI13" s="939">
        <f t="shared" si="1"/>
        <v>0</v>
      </c>
      <c r="AJ13" s="939">
        <f t="shared" si="1"/>
        <v>0</v>
      </c>
      <c r="AK13" s="939">
        <f t="shared" si="1"/>
        <v>0</v>
      </c>
      <c r="AL13" s="939">
        <f t="shared" si="1"/>
        <v>22</v>
      </c>
      <c r="AM13" s="939">
        <f t="shared" si="1"/>
        <v>22</v>
      </c>
      <c r="AN13" s="939">
        <f t="shared" si="1"/>
        <v>0</v>
      </c>
      <c r="AO13" s="939">
        <f t="shared" si="1"/>
        <v>0</v>
      </c>
      <c r="AP13" s="944">
        <f>IF(ISNUMBER(((Datos!L13/Datos!K13)*11)/factor_trimestre),((Datos!L13/Datos!K13)*11)/factor_trimestre," - ")</f>
        <v>10.126735063367532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-0.40740740740740738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4.9664929262844373</v>
      </c>
      <c r="AQ18" s="944">
        <f>IF(ISNUMBER(((Datos!M18/Datos!L18)*11)/factor_trimestre),((Datos!M18/Datos!L18)*11)/factor_trimestre," - ")</f>
        <v>0.22938530734632684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0.1265164644714038</v>
      </c>
      <c r="AW18" s="946">
        <f>IF(ISNUMBER((Datos!Q18-Datos!R18)/(Datos!S18-Datos!Q18+Datos!R18)),(Datos!Q18-Datos!R18)/(Datos!S18-Datos!Q18+Datos!R18)," - ")</f>
        <v>-8.4311632870864461E-2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11</v>
      </c>
      <c r="F19" s="951">
        <f t="shared" si="4"/>
        <v>135</v>
      </c>
      <c r="G19" s="951">
        <f t="shared" si="4"/>
        <v>135</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55</v>
      </c>
      <c r="AC19" s="957">
        <f t="shared" si="5"/>
        <v>0</v>
      </c>
      <c r="AD19" s="957">
        <f t="shared" si="5"/>
        <v>0</v>
      </c>
      <c r="AE19" s="957">
        <f t="shared" si="5"/>
        <v>0</v>
      </c>
      <c r="AF19" s="958">
        <f t="shared" si="5"/>
        <v>139</v>
      </c>
      <c r="AG19" s="958">
        <f t="shared" si="5"/>
        <v>0</v>
      </c>
      <c r="AH19" s="958">
        <f t="shared" si="5"/>
        <v>0</v>
      </c>
      <c r="AI19" s="958">
        <f t="shared" si="5"/>
        <v>0</v>
      </c>
      <c r="AJ19" s="959">
        <f t="shared" si="5"/>
        <v>0</v>
      </c>
      <c r="AK19" s="959">
        <f t="shared" si="5"/>
        <v>0</v>
      </c>
      <c r="AL19" s="951">
        <f t="shared" si="5"/>
        <v>22</v>
      </c>
      <c r="AM19" s="951">
        <f t="shared" si="5"/>
        <v>22</v>
      </c>
      <c r="AN19" s="951">
        <f t="shared" si="5"/>
        <v>0</v>
      </c>
      <c r="AO19" s="951">
        <f t="shared" si="5"/>
        <v>0</v>
      </c>
      <c r="AP19" s="951">
        <f>IF(ISNUMBER(((Datos!L19/Datos!K19)*11)/factor_trimestre),((Datos!L19/Datos!K19)*11)/factor_trimestre," - ")</f>
        <v>7.8166666666666673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-0.40740740740740738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-4.1425460725476655E-2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4.6761807778000488</v>
      </c>
      <c r="F21" s="736">
        <f>IF(ISNUMBER(STDEV(F8:F18)),STDEV(F8:F18),"-")</f>
        <v>77.94228634059948</v>
      </c>
      <c r="G21" s="737">
        <f>IF(ISNUMBER(STDEV(G8:G18)),STDEV(G8:G18),"-")</f>
        <v>77.94228634059948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31.754264805429415</v>
      </c>
      <c r="AC21" s="738">
        <f>IF(ISNUMBER(STDEV(AC8:AC18)),STDEV(AC8:AC18),"-")</f>
        <v>0</v>
      </c>
      <c r="AD21" s="741"/>
      <c r="AE21" s="741"/>
      <c r="AF21" s="741"/>
      <c r="AG21" s="741"/>
      <c r="AH21" s="741"/>
      <c r="AI21" s="741"/>
      <c r="AJ21" s="742">
        <f>IF(ISNUMBER(STDEV(AJ8:AJ18)),STDEV(AJ8:AJ18),"-")</f>
        <v>0</v>
      </c>
      <c r="AK21" s="744"/>
      <c r="AL21" s="736">
        <f>IF(ISNUMBER(STDEV(AL8:AL18)),STDEV(AL8:AL18),"-")</f>
        <v>12.701705922171765</v>
      </c>
      <c r="AM21" s="736"/>
      <c r="AN21" s="736">
        <f>IF(ISNUMBER(STDEV(AN8:AN18)),STDEV(AN8:AN18),"-")</f>
        <v>0</v>
      </c>
      <c r="AO21" s="742">
        <f>IF(ISNUMBER(STDEV(AO8:AO18)),STDEV(AO8:AO18),"-")</f>
        <v>0</v>
      </c>
      <c r="AP21" s="779">
        <f>IF(ISNUMBER(STDEV(AP8:AP18)),STDEV(AP8:AP18),"-")</f>
        <v>2.5802011239292773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6GJ21YIRYdIa7JadUSidpIimvXlDx+Ua0FHQVYx2UVkorXqoeRZEQA9rj1WhTsGtaBj+m+ogFcCRM5a8b9ZqCw==" saltValue="qr78RjJPhPLkqO4TEZQf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SABADELL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nAOhUDrnqW5k85m9X0Hxclp4n21R/qDDEt0PlrIT+spUmlHviK7LPqWXF2O0T3PcbbrJkPpM3k9uMzu/TDGIg==" saltValue="vvmcm666z30QqHW8OFjs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SABADELL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8</v>
      </c>
      <c r="C9" s="410">
        <f>Datos!AQ9</f>
        <v>8</v>
      </c>
      <c r="D9" s="403">
        <f>IF(ISNUMBER(Datos!M9),Datos!M9," - ")</f>
        <v>810</v>
      </c>
      <c r="E9" s="404">
        <f t="shared" ref="E9:E13" si="0">IF(ISNUMBER(D9/B9),D9/B9," - ")</f>
        <v>101.25</v>
      </c>
      <c r="F9" s="403">
        <f>IF(ISNUMBER(Datos!N9),Datos!N9," - ")</f>
        <v>1942</v>
      </c>
      <c r="G9" s="404">
        <f t="shared" ref="G9:G13" si="1">IF(ISNUMBER(F9/B9),F9/B9," - ")</f>
        <v>242.75</v>
      </c>
      <c r="H9" s="403">
        <f>IF(ISNUMBER(Datos!O9),Datos!O9," - ")</f>
        <v>2347</v>
      </c>
      <c r="I9" s="404">
        <f>IF(ISNUMBER(H9/B9),H9/B9," - ")</f>
        <v>293.375</v>
      </c>
    </row>
    <row r="10" spans="1:9">
      <c r="A10" s="402" t="str">
        <f>Datos!A10</f>
        <v>Jdos. Violencia contra la mujer</v>
      </c>
      <c r="B10" s="427">
        <f>Datos!AO10</f>
        <v>1</v>
      </c>
      <c r="C10" s="410">
        <f>Datos!AQ10</f>
        <v>1</v>
      </c>
      <c r="D10" s="403">
        <f>IF(ISNUMBER(Datos!M10),Datos!M10," - ")</f>
        <v>22</v>
      </c>
      <c r="E10" s="404">
        <f>IF(ISNUMBER(D10/B10),D10/B10," - ")</f>
        <v>22</v>
      </c>
      <c r="F10" s="403">
        <f>IF(ISNUMBER(Datos!N10),Datos!N10," - ")</f>
        <v>22</v>
      </c>
      <c r="G10" s="404">
        <f>IF(ISNUMBER(F10/B10),F10/B10," - ")</f>
        <v>22</v>
      </c>
      <c r="H10" s="403">
        <f>IF(ISNUMBER(Datos!O10),Datos!O10," - ")</f>
        <v>12</v>
      </c>
      <c r="I10" s="404">
        <f t="shared" ref="I10:I12" si="2">IF(ISNUMBER(H10/B10),H10/B10," - ")</f>
        <v>12</v>
      </c>
    </row>
    <row r="11" spans="1:9">
      <c r="A11" s="402" t="str">
        <f>Datos!A11</f>
        <v xml:space="preserve">Jdos. Familia                                   </v>
      </c>
      <c r="B11" s="427">
        <f>Datos!AO11</f>
        <v>2</v>
      </c>
      <c r="C11" s="410">
        <f>Datos!AQ11</f>
        <v>2</v>
      </c>
      <c r="D11" s="403">
        <f>IF(ISNUMBER(Datos!M11),Datos!M11," - ")</f>
        <v>294</v>
      </c>
      <c r="E11" s="404">
        <f t="shared" si="0"/>
        <v>147</v>
      </c>
      <c r="F11" s="403">
        <f>IF(ISNUMBER(Datos!N11),Datos!N11," - ")</f>
        <v>454</v>
      </c>
      <c r="G11" s="404">
        <f t="shared" si="1"/>
        <v>227</v>
      </c>
      <c r="H11" s="403">
        <f>IF(ISNUMBER(Datos!O11),Datos!O11," - ")</f>
        <v>237</v>
      </c>
      <c r="I11" s="404">
        <f t="shared" si="2"/>
        <v>118.5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11</v>
      </c>
      <c r="C13" s="851">
        <f>Datos!AR13</f>
        <v>11</v>
      </c>
      <c r="D13" s="849">
        <f>SUBTOTAL(9,D9:D12)</f>
        <v>1126</v>
      </c>
      <c r="E13" s="850">
        <f t="shared" si="0"/>
        <v>102.36363636363636</v>
      </c>
      <c r="F13" s="849">
        <f>SUBTOTAL(9,F9:F12)</f>
        <v>2418</v>
      </c>
      <c r="G13" s="850">
        <f t="shared" si="1"/>
        <v>219.81818181818181</v>
      </c>
      <c r="H13" s="849">
        <f>SUBTOTAL(9,H9:H12)</f>
        <v>2596</v>
      </c>
      <c r="I13" s="850">
        <f>IF(ISNUMBER(H13/B13),H13/B13," - ")</f>
        <v>236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486</v>
      </c>
      <c r="E15" s="404">
        <f t="shared" ref="E15:E18" si="3">IF(ISNUMBER(D15/B15),D15/B15," - ")</f>
        <v>97.2</v>
      </c>
      <c r="F15" s="403">
        <f>IF(ISNUMBER(Datos!N15),Datos!N15," - ")</f>
        <v>2385</v>
      </c>
      <c r="G15" s="404">
        <f t="shared" ref="G15:G18" si="4">IF(ISNUMBER(F15/B15),F15/B15," - ")</f>
        <v>477</v>
      </c>
      <c r="H15" s="403">
        <f>IF(ISNUMBER(Datos!O15),Datos!O15," - ")</f>
        <v>44</v>
      </c>
      <c r="I15" s="404">
        <f t="shared" ref="I15:I17" si="5">IF(ISNUMBER(H15/B15),H15/B15," - ")</f>
        <v>8.8000000000000007</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24</v>
      </c>
      <c r="E17" s="404">
        <f>IF(ISNUMBER(D17/B17),D17/B17," - ")</f>
        <v>24</v>
      </c>
      <c r="F17" s="403">
        <f>IF(ISNUMBER(Datos!N17),Datos!N17," - ")</f>
        <v>106</v>
      </c>
      <c r="G17" s="404">
        <f>IF(ISNUMBER(F17/B17),F17/B17," - ")</f>
        <v>106</v>
      </c>
      <c r="H17" s="403">
        <f>IF(ISNUMBER(Datos!O17),Datos!O17," - ")</f>
        <v>0</v>
      </c>
      <c r="I17" s="404">
        <f t="shared" si="5"/>
        <v>0</v>
      </c>
    </row>
    <row r="18" spans="1:9" ht="14.25" thickTop="1" thickBot="1">
      <c r="A18" s="848" t="str">
        <f>Datos!A18</f>
        <v>TOTAL</v>
      </c>
      <c r="B18" s="849">
        <f>Datos!AO18</f>
        <v>6</v>
      </c>
      <c r="C18" s="851">
        <f>Datos!AR18</f>
        <v>6</v>
      </c>
      <c r="D18" s="849">
        <f>SUBTOTAL(9,D15:D17)</f>
        <v>510</v>
      </c>
      <c r="E18" s="850">
        <f t="shared" si="3"/>
        <v>85</v>
      </c>
      <c r="F18" s="849">
        <f>SUBTOTAL(9,F15:F17)</f>
        <v>2491</v>
      </c>
      <c r="G18" s="850">
        <f t="shared" si="4"/>
        <v>415.16666666666669</v>
      </c>
      <c r="H18" s="849">
        <f>SUBTOTAL(9,H15:H17)</f>
        <v>44</v>
      </c>
      <c r="I18" s="850">
        <f>IF(ISNUMBER(H18/B18),H18/B18," - ")</f>
        <v>7.333333333333333</v>
      </c>
    </row>
    <row r="19" spans="1:9" ht="14.25" thickTop="1" thickBot="1">
      <c r="A19" s="793" t="str">
        <f>Datos!A19</f>
        <v>TOTAL JURISDICCIONES</v>
      </c>
      <c r="B19" s="794">
        <f>Datos!AP19</f>
        <v>16</v>
      </c>
      <c r="C19" s="794">
        <f>Datos!AR19</f>
        <v>16</v>
      </c>
      <c r="D19" s="794">
        <f>SUBTOTAL(9,D8:D18)</f>
        <v>1636</v>
      </c>
      <c r="E19" s="795">
        <f>IF(ISNUMBER(D19/B19),D19/B19," - ")</f>
        <v>102.25</v>
      </c>
      <c r="F19" s="794">
        <f>SUBTOTAL(9,F8:F18)</f>
        <v>4909</v>
      </c>
      <c r="G19" s="795">
        <f>IF(ISNUMBER(F19/B19),F19/B19," - ")</f>
        <v>306.8125</v>
      </c>
      <c r="H19" s="794">
        <f>SUBTOTAL(9,H8:H18)</f>
        <v>2640</v>
      </c>
      <c r="I19" s="795">
        <f>IF(ISNUMBER(H19/B19),H19/B19," - ")</f>
        <v>165</v>
      </c>
    </row>
    <row r="22" spans="1:9">
      <c r="A22" s="391" t="str">
        <f>Criterios!A4</f>
        <v>Fecha Informe: 29 may. 2024</v>
      </c>
    </row>
    <row r="27" spans="1:9">
      <c r="A27" s="414"/>
    </row>
  </sheetData>
  <sheetProtection algorithmName="SHA-512" hashValue="FvtHdffFPHQ43UivyhCcDDM3vRZRAwPhy9SNCfjQ6TL32raM5XS2Ybwq2VdSqVkxuBiLfq3V2T4Zu5kowZ5M0A==" saltValue="0pW6FfcPj2cV7iqoCzPa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SABADELL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1152</v>
      </c>
      <c r="C9" s="434">
        <f>IF(ISNUMBER(Datos!Q9),Datos!Q9," - ")</f>
        <v>2017</v>
      </c>
      <c r="D9" s="408">
        <f>IF(ISNUMBER(Datos!R9),Datos!R9," - ")</f>
        <v>16374</v>
      </c>
    </row>
    <row r="10" spans="1:4">
      <c r="A10" s="402" t="str">
        <f>Datos!A10</f>
        <v>Jdos. Violencia contra la mujer</v>
      </c>
      <c r="B10" s="433">
        <f>IF(ISNUMBER(Datos!P10),Datos!P10," - ")</f>
        <v>10</v>
      </c>
      <c r="C10" s="434">
        <f>IF(ISNUMBER(Datos!Q10),Datos!Q10," - ")</f>
        <v>11</v>
      </c>
      <c r="D10" s="408">
        <f>IF(ISNUMBER(Datos!R10),Datos!R10," - ")</f>
        <v>141</v>
      </c>
    </row>
    <row r="11" spans="1:4">
      <c r="A11" s="402" t="str">
        <f>Datos!A11</f>
        <v xml:space="preserve">Jdos. Familia                                   </v>
      </c>
      <c r="B11" s="433">
        <f>IF(ISNUMBER(Datos!P11),Datos!P11," - ")</f>
        <v>70</v>
      </c>
      <c r="C11" s="434">
        <f>IF(ISNUMBER(Datos!Q11),Datos!Q11," - ")</f>
        <v>57</v>
      </c>
      <c r="D11" s="408">
        <f>IF(ISNUMBER(Datos!R11),Datos!R11," - ")</f>
        <v>884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1232</v>
      </c>
      <c r="C13" s="853">
        <f>SUBTOTAL(9,C9:C12)</f>
        <v>2085</v>
      </c>
      <c r="D13" s="851">
        <f>SUBTOTAL(9,D9:D12)</f>
        <v>17399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167</v>
      </c>
      <c r="C15" s="434">
        <f>IF(ISNUMBER(Datos!Q15),Datos!Q15," - ")</f>
        <v>89</v>
      </c>
      <c r="D15" s="408">
        <f>IF(ISNUMBER(Datos!R15),Datos!R15," - ")</f>
        <v>641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8</v>
      </c>
      <c r="D17" s="408">
        <f>IF(ISNUMBER(Datos!R17),Datos!R17," - ")</f>
        <v>9</v>
      </c>
    </row>
    <row r="18" spans="1:4" ht="14.25" thickTop="1" thickBot="1">
      <c r="A18" s="848" t="str">
        <f>Datos!A18</f>
        <v>TOTAL</v>
      </c>
      <c r="B18" s="849">
        <f>SUBTOTAL(9,B15:B17)</f>
        <v>170</v>
      </c>
      <c r="C18" s="853">
        <f>SUBTOTAL(9,C15:C17)</f>
        <v>97</v>
      </c>
      <c r="D18" s="851">
        <f>SUBTOTAL(9,D15:D17)</f>
        <v>650</v>
      </c>
    </row>
    <row r="19" spans="1:4" ht="16.5" customHeight="1" thickTop="1" thickBot="1">
      <c r="A19" s="793" t="str">
        <f>Datos!A19</f>
        <v>TOTAL JURISDICCIONES</v>
      </c>
      <c r="B19" s="798">
        <f>SUBTOTAL(9,B8:B18)</f>
        <v>1402</v>
      </c>
      <c r="C19" s="799">
        <f>SUBTOTAL(9,C8:C18)</f>
        <v>2182</v>
      </c>
      <c r="D19" s="800">
        <f>SUBTOTAL(9,D8:D18)</f>
        <v>18049</v>
      </c>
    </row>
    <row r="20" spans="1:4" ht="7.5" customHeight="1"/>
    <row r="21" spans="1:4" ht="6" customHeight="1"/>
    <row r="22" spans="1:4">
      <c r="A22" s="391" t="str">
        <f>Criterios!A4</f>
        <v>Fecha Informe: 29 may. 2024</v>
      </c>
    </row>
    <row r="27" spans="1:4">
      <c r="A27" s="414"/>
    </row>
  </sheetData>
  <sheetProtection algorithmName="SHA-512" hashValue="bjzrn9+34+FbiUOOj34qnB0E9lOnm/7YzDGm5myLsygaQgEBrNq+rtS6W+GexjBNhVUPczGsUweA1qQUXmNPcA==" saltValue="P8ve2TsDaBb4p+Y7V2TS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SABADELL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6.6457805625916549E-2</v>
      </c>
      <c r="C9" s="456">
        <f>IF(ISNUMBER(
   IF(J_V="SI",(Datos!J9-Datos!T9)/Datos!T9,(Datos!J9+Datos!Z9-(Datos!T9+Datos!AH9))/(Datos!T9+Datos!AH9))
     ),IF(J_V="SI",(Datos!J9-Datos!T9)/Datos!T9,(Datos!J9+Datos!Z9-(Datos!T9+Datos!AH9))/(Datos!T9+Datos!AH9))," - ")</f>
        <v>1.623768115942029</v>
      </c>
      <c r="D9" s="456">
        <f>IF(ISNUMBER(
   IF(J_V="SI",(Datos!K9-Datos!U9)/Datos!U9,(Datos!K9+Datos!AA9-(Datos!U9+Datos!AI9))/(Datos!U9+Datos!AI9))
     ),IF(J_V="SI",(Datos!K9-Datos!U9)/Datos!U9,(Datos!K9+Datos!AA9-(Datos!U9+Datos!AI9))/(Datos!U9+Datos!AI9))," - ")</f>
        <v>0.35367298578199052</v>
      </c>
      <c r="E9" s="456">
        <f>IF(ISNUMBER(
   IF(J_V="SI",(Datos!L9-Datos!V9)/Datos!V9,(Datos!L9+Datos!AB9-(Datos!V9+Datos!AJ9))/(Datos!V9+Datos!AJ9))
     ),IF(J_V="SI",(Datos!L9-Datos!V9)/Datos!V9,(Datos!L9+Datos!AB9-(Datos!V9+Datos!AJ9))/(Datos!V9+Datos!AJ9))," - ")</f>
        <v>0.1948917684068609</v>
      </c>
      <c r="F9" s="456">
        <f>IF(ISNUMBER((Datos!M9-Datos!W9)/Datos!W9),(Datos!M9-Datos!W9)/Datos!W9," - ")</f>
        <v>0.25</v>
      </c>
      <c r="G9" s="457">
        <f>IF(ISNUMBER((Datos!N9-Datos!X9)/Datos!X9),(Datos!N9-Datos!X9)/Datos!X9," - ")</f>
        <v>7.709373266777593E-2</v>
      </c>
      <c r="H9" s="455">
        <f>IF(ISNUMBER(((NºAsuntos!G9/NºAsuntos!E9)-Datos!BD9)/Datos!BD9),((NºAsuntos!G9/NºAsuntos!E9)-Datos!BD9)/Datos!BD9," - ")</f>
        <v>-0.48407293405348351</v>
      </c>
      <c r="I9" s="456">
        <f>IF(ISNUMBER(((NºAsuntos!I9/NºAsuntos!G9)-Datos!BE9)/Datos!BE9),((NºAsuntos!I9/NºAsuntos!G9)-Datos!BE9)/Datos!BE9," - ")</f>
        <v>-0.11729658421410014</v>
      </c>
      <c r="J9" s="461">
        <f>IF(ISNUMBER((('Resol  Asuntos'!D9/NºAsuntos!G9)-Datos!BF9)/Datos!BF9),(('Resol  Asuntos'!D9/NºAsuntos!G9)-Datos!BF9)/Datos!BF9," - ")</f>
        <v>-0.66812424223668065</v>
      </c>
      <c r="K9" s="462">
        <f>IF(ISNUMBER((((NºAsuntos!C9+NºAsuntos!E9)/NºAsuntos!G9)-Datos!BG9)/Datos!BG9),(((NºAsuntos!C9+NºAsuntos!E9)/NºAsuntos!G9)-Datos!BG9)/Datos!BG9," - ")</f>
        <v>-9.353435966614862E-2</v>
      </c>
    </row>
    <row r="10" spans="1:11">
      <c r="A10" s="402" t="str">
        <f>Datos!A10</f>
        <v>Jdos. Violencia contra la mujer</v>
      </c>
      <c r="B10" s="455">
        <f>IF(ISNUMBER((Datos!I10-Datos!S10)/Datos!S10),(Datos!I10-Datos!S10)/Datos!S10," - ")</f>
        <v>0.17391304347826086</v>
      </c>
      <c r="C10" s="456">
        <f>IF(ISNUMBER((Datos!J10-Datos!T10)/Datos!T10),(Datos!J10-Datos!T10)/Datos!T10," - ")</f>
        <v>0.28260869565217389</v>
      </c>
      <c r="D10" s="456">
        <f>IF(ISNUMBER((Datos!K10-Datos!U10)/Datos!U10),(Datos!K10-Datos!U10)/Datos!U10," - ")</f>
        <v>0.44736842105263158</v>
      </c>
      <c r="E10" s="456">
        <f>IF(ISNUMBER((Datos!L10-Datos!V10)/Datos!V10),(Datos!L10-Datos!V10)/Datos!V10," - ")</f>
        <v>0.13008130081300814</v>
      </c>
      <c r="F10" s="456">
        <f>IF(ISNUMBER((Datos!M10-Datos!W10)/Datos!W10),(Datos!M10-Datos!W10)/Datos!W10," - ")</f>
        <v>1.2</v>
      </c>
      <c r="G10" s="457">
        <f>IF(ISNUMBER((Datos!N10-Datos!X10)/Datos!X10),(Datos!N10-Datos!X10)/Datos!X10," - ")</f>
        <v>0.5714285714285714</v>
      </c>
      <c r="H10" s="455">
        <f>IF(ISNUMBER(((NºAsuntos!G10/NºAsuntos!E10)-Datos!BD10)/Datos!BD10),((NºAsuntos!G10/NºAsuntos!E10)-Datos!BD10)/Datos!BD10," - ")</f>
        <v>0.12845673505798388</v>
      </c>
      <c r="I10" s="456">
        <f>IF(ISNUMBER(((NºAsuntos!I10/NºAsuntos!G10)-Datos!BE10)/Datos!BE10),((NºAsuntos!I10/NºAsuntos!G10)-Datos!BE10)/Datos!BE10," - ")</f>
        <v>-0.21921655580192165</v>
      </c>
      <c r="J10" s="461">
        <f>IF(ISNUMBER((('Resol  Asuntos'!D10/NºAsuntos!G10)-Datos!BF10)/Datos!BF10),(('Resol  Asuntos'!D10/NºAsuntos!G10)-Datos!BF10)/Datos!BF10," - ")</f>
        <v>0.52000000000000013</v>
      </c>
      <c r="K10" s="462">
        <f>IF(ISNUMBER((((NºAsuntos!C10+NºAsuntos!E10)/NºAsuntos!G10)-Datos!BG10)/Datos!BG10),(((NºAsuntos!C10+NºAsuntos!E10)/NºAsuntos!G10)-Datos!BG10)/Datos!BG10," - ")</f>
        <v>-0.16747600225861087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0.1004566210045662</v>
      </c>
      <c r="C11" s="456">
        <f>IF(ISNUMBER(
   IF(J_V="SI",(Datos!J11-Datos!T11)/Datos!T11,(Datos!J11+Datos!Z11-(Datos!T11+Datos!AH11))/(Datos!T11+Datos!AH11))
     ),IF(J_V="SI",(Datos!J11-Datos!T11)/Datos!T11,(Datos!J11+Datos!Z11-(Datos!T11+Datos!AH11))/(Datos!T11+Datos!AH11))," - ")</f>
        <v>0.43312101910828027</v>
      </c>
      <c r="D11" s="456">
        <f>IF(ISNUMBER(
   IF(J_V="SI",(Datos!K11-Datos!U11)/Datos!U11,(Datos!K11+Datos!AA11-(Datos!U11+Datos!AI11))/(Datos!U11+Datos!AI11))
     ),IF(J_V="SI",(Datos!K11-Datos!U11)/Datos!U11,(Datos!K11+Datos!AA11-(Datos!U11+Datos!AI11))/(Datos!U11+Datos!AI11))," - ")</f>
        <v>0.35650887573964496</v>
      </c>
      <c r="E11" s="456">
        <f>IF(ISNUMBER(
   IF(J_V="SI",(Datos!L11-Datos!V11)/Datos!V11,(Datos!L11+Datos!AB11-(Datos!V11+Datos!AJ11))/(Datos!V11+Datos!AJ11))
     ),IF(J_V="SI",(Datos!L11-Datos!V11)/Datos!V11,(Datos!L11+Datos!AB11-(Datos!V11+Datos!AJ11))/(Datos!V11+Datos!AJ11))," - ")</f>
        <v>8.0076263107721646E-2</v>
      </c>
      <c r="F11" s="456">
        <f>IF(ISNUMBER((Datos!M11-Datos!W11)/Datos!W11),(Datos!M11-Datos!W11)/Datos!W11," - ")</f>
        <v>0.92156862745098034</v>
      </c>
      <c r="G11" s="457">
        <f>IF(ISNUMBER((Datos!N11-Datos!X11)/Datos!X11),(Datos!N11-Datos!X11)/Datos!X11," - ")</f>
        <v>0.2824858757062147</v>
      </c>
      <c r="H11" s="455">
        <f>IF(ISNUMBER(((NºAsuntos!G11/NºAsuntos!E11)-Datos!BD11)/Datos!BD11),((NºAsuntos!G11/NºAsuntos!E11)-Datos!BD11)/Datos!BD11," - ")</f>
        <v>-5.3458251150558765E-2</v>
      </c>
      <c r="I11" s="456">
        <f>IF(ISNUMBER(((NºAsuntos!I11/NºAsuntos!G11)-Datos!BE11)/Datos!BE11),((NºAsuntos!I11/NºAsuntos!G11)-Datos!BE11)/Datos!BE11," - ")</f>
        <v>-0.20378238401219206</v>
      </c>
      <c r="J11" s="461">
        <f>IF(ISNUMBER((('Resol  Asuntos'!D11/NºAsuntos!G11)-Datos!BF11)/Datos!BF11),(('Resol  Asuntos'!D11/NºAsuntos!G11)-Datos!BF11)/Datos!BF11," - ")</f>
        <v>-0.3877603829732178</v>
      </c>
      <c r="K11" s="462">
        <f>IF(ISNUMBER((((NºAsuntos!C11+NºAsuntos!E11)/NºAsuntos!G11)-Datos!BG11)/Datos!BG11),(((NºAsuntos!C11+NºAsuntos!E11)/NºAsuntos!G11)-Datos!BG11)/Datos!BG11," - ")</f>
        <v>-9.9374616690854442E-2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6.951640759930916E-2</v>
      </c>
      <c r="C13" s="855">
        <f>IF(ISNUMBER(
   IF(J_V="SI",(Datos!J13-Datos!T13)/Datos!T13,(Datos!J13+Datos!Z13-(Datos!T13+Datos!AH13))/(Datos!T13+Datos!AH13))
     ),IF(J_V="SI",(Datos!J13-Datos!T13)/Datos!T13,(Datos!J13+Datos!Z13-(Datos!T13+Datos!AH13))/(Datos!T13+Datos!AH13))," - ")</f>
        <v>1.2863693205502293</v>
      </c>
      <c r="D13" s="855">
        <f>IF(ISNUMBER(
   IF(J_V="SI",(Datos!K13-Datos!U13)/Datos!U13,(Datos!K13+Datos!AA13-(Datos!U13+Datos!AI13))/(Datos!U13+Datos!AI13))
     ),IF(J_V="SI",(Datos!K13-Datos!U13)/Datos!U13,(Datos!K13+Datos!AA13-(Datos!U13+Datos!AI13))/(Datos!U13+Datos!AI13))," - ")</f>
        <v>0.3550122249388753</v>
      </c>
      <c r="E13" s="855">
        <f>IF(ISNUMBER(
   IF(J_V="SI",(Datos!L13-Datos!V13)/Datos!V13,(Datos!L13+Datos!AB13-(Datos!V13+Datos!AJ13))/(Datos!V13+Datos!AJ13))
     ),IF(J_V="SI",(Datos!L13-Datos!V13)/Datos!V13,(Datos!L13+Datos!AB13-(Datos!V13+Datos!AJ13))/(Datos!V13+Datos!AJ13))," - ")</f>
        <v>0.18604971424636782</v>
      </c>
      <c r="F13" s="856">
        <f>IF(ISNUMBER((Datos!M13-Datos!W13)/Datos!W13),(Datos!M13-Datos!W13)/Datos!W13," - ")</f>
        <v>0.38840937114673241</v>
      </c>
      <c r="G13" s="857">
        <f>IF(ISNUMBER((Datos!N13-Datos!X13)/Datos!X13),(Datos!N13-Datos!X13)/Datos!X13," - ")</f>
        <v>0.11377245508982035</v>
      </c>
      <c r="H13" s="857">
        <f>IF(ISNUMBER(((NºAsuntos!G13/NºAsuntos!E13)-Datos!BD13)/Datos!BD13),((NºAsuntos!G13/NºAsuntos!E13)-Datos!BD13)/Datos!BD13," - ")</f>
        <v>-0.40735199131661592</v>
      </c>
      <c r="I13" s="857">
        <f>IF(ISNUMBER(((NºAsuntos!I13/NºAsuntos!G13)-Datos!BE13)/Datos!BE13),((NºAsuntos!I13/NºAsuntos!G13)-Datos!BE13)/Datos!BE13," - ")</f>
        <v>-0.12469445484163755</v>
      </c>
      <c r="J13" s="857">
        <f>IF(ISNUMBER((('Resol  Asuntos'!D13/NºAsuntos!G13)-Datos!BF13)/Datos!BF13),(('Resol  Asuntos'!D13/NºAsuntos!G13)-Datos!BF13)/Datos!BF13," - ")</f>
        <v>-0.61652569787586753</v>
      </c>
      <c r="K13" s="857">
        <f>IF(ISNUMBER((((NºAsuntos!C13+NºAsuntos!E13)/NºAsuntos!G13)-Datos!BG13)/Datos!BG13),(((NºAsuntos!C13+NºAsuntos!E13)/NºAsuntos!G13)-Datos!BG13)/Datos!BG13," - ")</f>
        <v>-9.4936947317431616E-2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8.8474166234663906E-2</v>
      </c>
      <c r="C15" s="456">
        <f>IF(ISNUMBER(
   IF(D_I="SI",(Datos!J15-Datos!T15)/Datos!T15,(Datos!J15+Datos!AD15-(Datos!T15+Datos!AL15))/(Datos!T15+Datos!AL15))
     ),IF(D_I="SI",(Datos!J15-Datos!T15)/Datos!T15,(Datos!J15+Datos!AD15-(Datos!T15+Datos!AL15))/(Datos!T15+Datos!AL15))," - ")</f>
        <v>0.16509290283277489</v>
      </c>
      <c r="D15" s="456">
        <f>IF(ISNUMBER(
   IF(D_I="SI",(Datos!K15-Datos!U15)/Datos!U15,(Datos!K15+Datos!AE15-(Datos!U15+Datos!AM15))/(Datos!U15+Datos!AM15))
     ),IF(D_I="SI",(Datos!K15-Datos!U15)/Datos!U15,(Datos!K15+Datos!AE15-(Datos!U15+Datos!AM15))/(Datos!U15+Datos!AM15))," - ")</f>
        <v>7.0341659488946315E-2</v>
      </c>
      <c r="E15" s="456">
        <f>IF(ISNUMBER(
   IF(D_I="SI",(Datos!L15-Datos!V15)/Datos!V15,(Datos!L15+Datos!AF15-(Datos!V15+Datos!AN15))/(Datos!V15+Datos!AN15))
     ),IF(D_I="SI",(Datos!L15-Datos!V15)/Datos!V15,(Datos!L15+Datos!AF15-(Datos!V15+Datos!AN15))/(Datos!V15+Datos!AN15))," - ")</f>
        <v>0.14300922640170333</v>
      </c>
      <c r="F15" s="456">
        <f>IF(ISNUMBER((Datos!M15-Datos!W15)/Datos!W15),(Datos!M15-Datos!W15)/Datos!W15," - ")</f>
        <v>0.50464396284829727</v>
      </c>
      <c r="G15" s="457">
        <f>IF(ISNUMBER((Datos!N15-Datos!X15)/Datos!X15),(Datos!N15-Datos!X15)/Datos!X15," - ")</f>
        <v>9.8066298342541436E-2</v>
      </c>
      <c r="H15" s="455">
        <f>IF(ISNUMBER(((NºAsuntos!G15/NºAsuntos!E15)-Datos!BD15)/Datos!BD15),((NºAsuntos!G15/NºAsuntos!E15)-Datos!BD15)/Datos!BD15," - ")</f>
        <v>-8.1325054090925289E-2</v>
      </c>
      <c r="I15" s="456">
        <f>IF(ISNUMBER(((NºAsuntos!I15/NºAsuntos!G15)-Datos!BE15)/Datos!BE15),((NºAsuntos!I15/NºAsuntos!G15)-Datos!BE15)/Datos!BE15," - ")</f>
        <v>6.7891935503522752E-2</v>
      </c>
      <c r="J15" s="461">
        <f>IF(ISNUMBER((('Resol  Asuntos'!D15/NºAsuntos!G15)-Datos!BF15)/Datos!BF15),(('Resol  Asuntos'!D15/NºAsuntos!G15)-Datos!BF15)/Datos!BF15," - ")</f>
        <v>0.40576044061175409</v>
      </c>
      <c r="K15" s="462">
        <f>IF(ISNUMBER((((NºAsuntos!C15+NºAsuntos!E15)/NºAsuntos!G15)-Datos!BG15)/Datos!BG15),(((NºAsuntos!C15+NºAsuntos!E15)/NºAsuntos!G15)-Datos!BG15)/Datos!BG15," - ")</f>
        <v>4.2851380062555941E-2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0.1050228310502283</v>
      </c>
      <c r="C17" s="456">
        <f>IF(ISNUMBER(
   IF(D_I="SI",(Datos!J17-Datos!T17)/Datos!T17,(Datos!J17+Datos!AD17-(Datos!T17+Datos!AL17))/(Datos!T17+Datos!AL17))
     ),IF(D_I="SI",(Datos!J17-Datos!T17)/Datos!T17,(Datos!J17+Datos!AD17-(Datos!T17+Datos!AL17))/(Datos!T17+Datos!AL17))," - ")</f>
        <v>5.128205128205128E-2</v>
      </c>
      <c r="D17" s="456">
        <f>IF(ISNUMBER(
   IF(D_I="SI",(Datos!K17-Datos!U17)/Datos!U17,(Datos!K17+Datos!AE17-(Datos!U17+Datos!AM17))/(Datos!U17+Datos!AM17))
     ),IF(D_I="SI",(Datos!K17-Datos!U17)/Datos!U17,(Datos!K17+Datos!AE17-(Datos!U17+Datos!AM17))/(Datos!U17+Datos!AM17))," - ")</f>
        <v>7.4999999999999997E-2</v>
      </c>
      <c r="E17" s="456">
        <f>IF(ISNUMBER(
   IF(D_I="SI",(Datos!L17-Datos!V17)/Datos!V17,(Datos!L17+Datos!AF17-(Datos!V17+Datos!AN17))/(Datos!V17+Datos!AN17))
     ),IF(D_I="SI",(Datos!L17-Datos!V17)/Datos!V17,(Datos!L17+Datos!AF17-(Datos!V17+Datos!AN17))/(Datos!V17+Datos!AN17))," - ")</f>
        <v>7.5471698113207544E-2</v>
      </c>
      <c r="F17" s="456">
        <f>IF(ISNUMBER((Datos!M17-Datos!W17)/Datos!W17),(Datos!M17-Datos!W17)/Datos!W17," - ")</f>
        <v>9.0909090909090912E-2</v>
      </c>
      <c r="G17" s="457">
        <f>IF(ISNUMBER((Datos!N17-Datos!X17)/Datos!X17),(Datos!N17-Datos!X17)/Datos!X17," - ")</f>
        <v>-0.16535433070866143</v>
      </c>
      <c r="H17" s="455">
        <f>IF(ISNUMBER(((NºAsuntos!G17/NºAsuntos!E17)-Datos!BD17)/Datos!BD17),((NºAsuntos!G17/NºAsuntos!E17)-Datos!BD17)/Datos!BD17," - ")</f>
        <v>2.2560975609756232E-2</v>
      </c>
      <c r="I17" s="456">
        <f>IF(ISNUMBER(((NºAsuntos!I17/NºAsuntos!G17)-Datos!BE17)/Datos!BE17),((NºAsuntos!I17/NºAsuntos!G17)-Datos!BE17)/Datos!BE17," - ")</f>
        <v>4.3878894251863677E-4</v>
      </c>
      <c r="J17" s="461">
        <f>IF(ISNUMBER((('Resol  Asuntos'!D17/NºAsuntos!G17)-Datos!BF17)/Datos!BF17),(('Resol  Asuntos'!D17/NºAsuntos!G17)-Datos!BF17)/Datos!BF17," - ")</f>
        <v>1.4799154334038011E-2</v>
      </c>
      <c r="K17" s="462">
        <f>IF(ISNUMBER((((NºAsuntos!C17+NºAsuntos!E17)/NºAsuntos!G17)-Datos!BG17)/Datos!BG17),(((NºAsuntos!C17+NºAsuntos!E17)/NºAsuntos!G17)-Datos!BG17)/Datos!BG17," - ")</f>
        <v>1.8907165815850016E-4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8.9077589077589073E-2</v>
      </c>
      <c r="C18" s="855">
        <f>IF(ISNUMBER(
   IF(Criterios!B14="SI",(Datos!J18-Datos!T18)/Datos!T18,(Datos!J18+Datos!AD18-(Datos!T18+Datos!AL18))/(Datos!T18+Datos!AL18))
     ),IF(Criterios!B14="SI",(Datos!J18-Datos!T18)/Datos!T18,(Datos!J18+Datos!AD18-(Datos!T18+Datos!AL18))/(Datos!T18+Datos!AL18))," - ")</f>
        <v>0.156355455568054</v>
      </c>
      <c r="D18" s="855">
        <f>IF(ISNUMBER(
   IF(Criterios!B14="SI",(Datos!K18-Datos!U18)/Datos!U18,(Datos!K18+Datos!AE18-(Datos!U18+Datos!AM18))/(Datos!U18+Datos!AM18))
     ),IF(Criterios!B14="SI",(Datos!K18-Datos!U18)/Datos!U18,(Datos!K18+Datos!AE18-(Datos!U18+Datos!AM18))/(Datos!U18+Datos!AM18))," - ")</f>
        <v>7.0688280627159178E-2</v>
      </c>
      <c r="E18" s="855">
        <f>IF(ISNUMBER(
   IF(Criterios!B14="SI",(Datos!L18-Datos!V18)/Datos!V18,(Datos!L18+Datos!AF18-(Datos!V18+Datos!AN18))/(Datos!V18+Datos!AN18))
     ),IF(Criterios!B14="SI",(Datos!L18-Datos!V18)/Datos!V18,(Datos!L18+Datos!AF18-(Datos!V18+Datos!AN18))/(Datos!V18+Datos!AN18))," - ")</f>
        <v>0.1405608755129959</v>
      </c>
      <c r="F18" s="856">
        <f>IF(ISNUMBER((Datos!M18-Datos!W18)/Datos!W18),(Datos!M18-Datos!W18)/Datos!W18," - ")</f>
        <v>0.47826086956521741</v>
      </c>
      <c r="G18" s="857">
        <f>IF(ISNUMBER((Datos!N18-Datos!X18)/Datos!X18),(Datos!N18-Datos!X18)/Datos!X18," - ")</f>
        <v>8.3514571552849068E-2</v>
      </c>
      <c r="H18" s="857">
        <f>IF(ISNUMBER(((NºAsuntos!G18/NºAsuntos!E18)-Datos!BD18)/Datos!BD18),((NºAsuntos!G18/NºAsuntos!E18)-Datos!BD18)/Datos!BD18," - ")</f>
        <v>-7.4083772881766152E-2</v>
      </c>
      <c r="I18" s="857">
        <f>IF(ISNUMBER(((NºAsuntos!I18/NºAsuntos!G18)-Datos!BE18)/Datos!BE18),((NºAsuntos!I18/NºAsuntos!G18)-Datos!BE18)/Datos!BE18," - ")</f>
        <v>6.5259512175578016E-2</v>
      </c>
      <c r="J18" s="857">
        <f>IF(ISNUMBER((('Resol  Asuntos'!D18/NºAsuntos!G18)-Datos!BF18)/Datos!BF18),(('Resol  Asuntos'!D18/NºAsuntos!G18)-Datos!BF18)/Datos!BF18," - ")</f>
        <v>0.38066409833058151</v>
      </c>
      <c r="K18" s="857">
        <f>IF(ISNUMBER((((NºAsuntos!C18+NºAsuntos!E18)/NºAsuntos!G18)-Datos!BG18)/Datos!BG18),(((NºAsuntos!C18+NºAsuntos!E18)/NºAsuntos!G18)-Datos!BG18)/Datos!BG18," - ")</f>
        <v>4.0543255499282428E-2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7.4804212800432077E-2</v>
      </c>
      <c r="C19" s="802">
        <f>IF(ISNUMBER(
   IF(J_V="SI",(Datos!J19-Datos!T19)/Datos!T19,(Datos!J19+Datos!Z19-(Datos!T19+Datos!AH19))/(Datos!T19+Datos!AH19))
     ),IF(J_V="SI",(Datos!J19-Datos!T19)/Datos!T19,(Datos!J19+Datos!Z19-(Datos!T19+Datos!AH19))/(Datos!T19+Datos!AH19))," - ")</f>
        <v>0.61158690176322417</v>
      </c>
      <c r="D19" s="802">
        <f>IF(ISNUMBER(
   IF(J_V="SI",(Datos!K19-Datos!U19)/Datos!U19,(Datos!K19+Datos!AA19-(Datos!U19+Datos!AI19))/(Datos!U19+Datos!AI19))
     ),IF(J_V="SI",(Datos!K19-Datos!U19)/Datos!U19,(Datos!K19+Datos!AA19-(Datos!U19+Datos!AI19))/(Datos!U19+Datos!AI19))," - ")</f>
        <v>0.21876989685470521</v>
      </c>
      <c r="E19" s="802">
        <f>IF(ISNUMBER(
   IF(J_V="SI",(Datos!L19-Datos!V19)/Datos!V19,(Datos!L19+Datos!AB19-(Datos!V19+Datos!AJ19))/(Datos!V19+Datos!AJ19))
     ),IF(J_V="SI",(Datos!L19-Datos!V19)/Datos!V19,(Datos!L19+Datos!AB19-(Datos!V19+Datos!AJ19))/(Datos!V19+Datos!AJ19))," - ")</f>
        <v>0.17299101664130381</v>
      </c>
      <c r="F19" s="803">
        <f>IF(ISNUMBER((Datos!M19-Datos!W19)/Datos!W19),(Datos!M19-Datos!W19)/Datos!W19," - ")</f>
        <v>0.41522491349480967</v>
      </c>
      <c r="G19" s="804">
        <f>IF(ISNUMBER((Datos!N19-Datos!X19)/Datos!X19),(Datos!N19-Datos!X19)/Datos!X19," - ")</f>
        <v>9.8210290827740493E-2</v>
      </c>
      <c r="H19" s="805">
        <f>IF(ISNUMBER((Tasas!B19-Datos!BD19)/Datos!BD19),(Tasas!B19-Datos!BD19)/Datos!BD19," - ")</f>
        <v>-0.24374546881632081</v>
      </c>
      <c r="I19" s="806">
        <f>IF(ISNUMBER((Tasas!C19-Datos!BE19)/Datos!BE19),(Tasas!C19-Datos!BE19)/Datos!BE19," - ")</f>
        <v>-3.7561544908143479E-2</v>
      </c>
      <c r="J19" s="807">
        <f>IF(ISNUMBER((Tasas!D19-Datos!BF19)/Datos!BF19),(Tasas!D19-Datos!BF19)/Datos!BF19," - ")</f>
        <v>-0.46563015132629287</v>
      </c>
      <c r="K19" s="807">
        <f>IF(ISNUMBER((Tasas!E19-Datos!BG19)/Datos!BG19),(Tasas!E19-Datos!BG19)/Datos!BG19," - ")</f>
        <v>-2.5028954589321997E-2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BdRe8Lrzrrq0T0TT0zUIeMUTv/sS0G4LdJnlmSCMwCXZ8ABuZGYnwNXY1VtFNCUy7ozixg4gKUSi/qdyoUMDA==" saltValue="dc16E91JEP+7LuNJp9IE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SABADELL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1.0097216084843128</v>
      </c>
      <c r="C9" s="443">
        <f>IF(ISNUMBER(NºAsuntos!I9/NºAsuntos!G9),NºAsuntos!I9/NºAsuntos!G9," - ")</f>
        <v>3.4908096280087526</v>
      </c>
      <c r="D9" s="444">
        <f>IF(ISNUMBER('Resol  Asuntos'!D9/NºAsuntos!G9),'Resol  Asuntos'!D9/NºAsuntos!G9," - ")</f>
        <v>0.17724288840262581</v>
      </c>
      <c r="E9" s="445">
        <f>IF(ISNUMBER((NºAsuntos!C9+NºAsuntos!E9)/NºAsuntos!G9),(NºAsuntos!C9+NºAsuntos!E9)/NºAsuntos!G9," - ")</f>
        <v>4.4912472647702408</v>
      </c>
      <c r="G9" s="463"/>
    </row>
    <row r="10" spans="1:7">
      <c r="A10" s="402" t="str">
        <f>Datos!A10</f>
        <v>Jdos. Violencia contra la mujer</v>
      </c>
      <c r="B10" s="442">
        <f>IF(ISNUMBER(NºAsuntos!G10/NºAsuntos!E10),NºAsuntos!G10/NºAsuntos!E10," - ")</f>
        <v>0.93220338983050843</v>
      </c>
      <c r="C10" s="443">
        <f>IF(ISNUMBER(NºAsuntos!I10/NºAsuntos!G10),NºAsuntos!I10/NºAsuntos!G10," - ")</f>
        <v>2.5272727272727273</v>
      </c>
      <c r="D10" s="444">
        <f>IF(ISNUMBER('Resol  Asuntos'!D10/NºAsuntos!G10),'Resol  Asuntos'!D10/NºAsuntos!G10," - ")</f>
        <v>0.4</v>
      </c>
      <c r="E10" s="445">
        <f>IF(ISNUMBER((NºAsuntos!C10+NºAsuntos!E10)/NºAsuntos!G10),(NºAsuntos!C10+NºAsuntos!E10)/NºAsuntos!G10," - ")</f>
        <v>3.5272727272727273</v>
      </c>
      <c r="G10" s="463"/>
    </row>
    <row r="11" spans="1:7">
      <c r="A11" s="402" t="str">
        <f>Datos!A11</f>
        <v xml:space="preserve">Jdos. Familia                                   </v>
      </c>
      <c r="B11" s="442">
        <f>IF(ISNUMBER(NºAsuntos!G11/NºAsuntos!E11),NºAsuntos!G11/NºAsuntos!E11," - ")</f>
        <v>1.018888888888889</v>
      </c>
      <c r="C11" s="443">
        <f>IF(ISNUMBER(NºAsuntos!I11/NºAsuntos!G11),NºAsuntos!I11/NºAsuntos!G11," - ")</f>
        <v>1.2355507088331517</v>
      </c>
      <c r="D11" s="444">
        <f>IF(ISNUMBER('Resol  Asuntos'!D11/NºAsuntos!G11),'Resol  Asuntos'!D11/NºAsuntos!G11," - ")</f>
        <v>0.32061068702290074</v>
      </c>
      <c r="E11" s="445">
        <f>IF(ISNUMBER((NºAsuntos!C11+NºAsuntos!E11)/NºAsuntos!G11),(NºAsuntos!C11+NºAsuntos!E11)/NºAsuntos!G11," - ")</f>
        <v>2.2955288985823339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1.0103919781221513</v>
      </c>
      <c r="C13" s="859">
        <f>IF(ISNUMBER(NºAsuntos!I13/NºAsuntos!G13),NºAsuntos!I13/NºAsuntos!G13," - ")</f>
        <v>3.108083724287261</v>
      </c>
      <c r="D13" s="860">
        <f>IF(ISNUMBER('Resol  Asuntos'!D13/NºAsuntos!G13),'Resol  Asuntos'!D13/NºAsuntos!G13," - ")</f>
        <v>0.20317574882713821</v>
      </c>
      <c r="E13" s="861">
        <f>IF(ISNUMBER((NºAsuntos!C13+NºAsuntos!E13)/NºAsuntos!G13),(NºAsuntos!C13+NºAsuntos!E13)/NºAsuntos!G13," - ")</f>
        <v>4.1183688199206063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0.97464052287581704</v>
      </c>
      <c r="C15" s="443">
        <f>IF(ISNUMBER(NºAsuntos!I15/NºAsuntos!G15),NºAsuntos!I15/NºAsuntos!G15," - ")</f>
        <v>1.7280042918454936</v>
      </c>
      <c r="D15" s="444">
        <f>IF(ISNUMBER('Resol  Asuntos'!D15/NºAsuntos!G15),'Resol  Asuntos'!D15/NºAsuntos!G15," - ")</f>
        <v>0.13036480686695279</v>
      </c>
      <c r="E15" s="445">
        <f>IF(ISNUMBER((NºAsuntos!C15+NºAsuntos!E15)/NºAsuntos!G15),(NºAsuntos!C15+NºAsuntos!E15)/NºAsuntos!G15," - ")</f>
        <v>2.7156652360515023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1.0487804878048781</v>
      </c>
      <c r="C17" s="443">
        <f>IF(ISNUMBER(NºAsuntos!I17/NºAsuntos!G17),NºAsuntos!I17/NºAsuntos!G17," - ")</f>
        <v>0.75747508305647837</v>
      </c>
      <c r="D17" s="444">
        <f>IF(ISNUMBER('Resol  Asuntos'!D17/NºAsuntos!G17),'Resol  Asuntos'!D17/NºAsuntos!G17," - ")</f>
        <v>7.9734219269102985E-2</v>
      </c>
      <c r="E17" s="445">
        <f>IF(ISNUMBER((NºAsuntos!C17+NºAsuntos!E17)/NºAsuntos!G17),(NºAsuntos!C17+NºAsuntos!E17)/NºAsuntos!G17," - ")</f>
        <v>1.7574750830564785</v>
      </c>
      <c r="G17" s="463"/>
    </row>
    <row r="18" spans="1:7" ht="14.25" thickTop="1" thickBot="1">
      <c r="A18" s="848" t="str">
        <f>Datos!A18</f>
        <v>TOTAL</v>
      </c>
      <c r="B18" s="858">
        <f>IF(ISNUMBER(NºAsuntos!G18/NºAsuntos!E18),NºAsuntos!G18/NºAsuntos!E18," - ")</f>
        <v>0.97981517509727623</v>
      </c>
      <c r="C18" s="859">
        <f>IF(ISNUMBER(NºAsuntos!I18/NºAsuntos!G18),NºAsuntos!I18/NºAsuntos!G18," - ")</f>
        <v>1.6554976420948126</v>
      </c>
      <c r="D18" s="862">
        <f>IF(ISNUMBER('Resol  Asuntos'!D18/NºAsuntos!G18),'Resol  Asuntos'!D18/NºAsuntos!G18," - ")</f>
        <v>0.12658227848101267</v>
      </c>
      <c r="E18" s="861">
        <f>IF(ISNUMBER((NºAsuntos!C18+NºAsuntos!E18)/NºAsuntos!G18),(NºAsuntos!C18+NºAsuntos!E18)/NºAsuntos!G18," - ")</f>
        <v>2.6440804169769172</v>
      </c>
      <c r="G18" s="463"/>
    </row>
    <row r="19" spans="1:7" ht="15.75" customHeight="1" thickTop="1" thickBot="1">
      <c r="A19" s="793" t="str">
        <f>Datos!A19</f>
        <v>TOTAL JURISDICCIONES</v>
      </c>
      <c r="B19" s="808">
        <f>IF(ISNUMBER(NºAsuntos!G19/NºAsuntos!E19),NºAsuntos!G19/NºAsuntos!E19," - ")</f>
        <v>0.99729082004793168</v>
      </c>
      <c r="C19" s="809">
        <f>IF(ISNUMBER(NºAsuntos!I19/NºAsuntos!G19),NºAsuntos!I19/NºAsuntos!G19," - ")</f>
        <v>2.4966043255668162</v>
      </c>
      <c r="D19" s="810">
        <f>IF(ISNUMBER('Resol  Asuntos'!D19/NºAsuntos!G19),'Resol  Asuntos'!D19/NºAsuntos!G19," - ")</f>
        <v>0.17093302685194858</v>
      </c>
      <c r="E19" s="811">
        <f>IF(ISNUMBER((NºAsuntos!C19+NºAsuntos!E19)/NºAsuntos!G19),(NºAsuntos!C19+NºAsuntos!E19)/NºAsuntos!G19," - ")</f>
        <v>3.4977536307595862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D2rGTswjR8l0TSJhC02466oNk1Ui/DPgqKS/camecYo4HSssJz8AAKONHLtUJxvPiuzILQRUMyWjsFAZc6kGg==" saltValue="63xk2t8cpKyp7cizZj7G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SABADELL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1152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2017</v>
      </c>
      <c r="Y9" s="334">
        <f>SUM(W9:X9)</f>
        <v>2017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16374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810</v>
      </c>
      <c r="AJ9" s="229" t="str">
        <f>IF(ISNUMBER(Datos!BW9),Datos!BW9," - ")</f>
        <v xml:space="preserve"> - </v>
      </c>
      <c r="AK9" s="228" t="str">
        <f>IF(ISNUMBER(Datos!BX9),Datos!BX9," - ")</f>
        <v xml:space="preserve"> - </v>
      </c>
      <c r="AL9" s="243">
        <f>IF(ISNUMBER(NºAsuntos!G9/NºAsuntos!E9),NºAsuntos!G9/NºAsuntos!E9," - ")</f>
        <v>1.0097216084843128</v>
      </c>
      <c r="AM9" s="260">
        <f>IF(ISNUMBER(((NºAsuntos!I9/NºAsuntos!G9)*11)/factor_trimestre),((NºAsuntos!I9/NºAsuntos!G9)*11)/factor_trimestre," - ")</f>
        <v>10.472428884026259</v>
      </c>
      <c r="AN9" s="244">
        <f>IF(ISNUMBER('Resol  Asuntos'!D9/NºAsuntos!G9),'Resol  Asuntos'!D9/NºAsuntos!G9," - ")</f>
        <v>0.17724288840262581</v>
      </c>
      <c r="AO9" s="245">
        <f>IF(ISNUMBER((NºAsuntos!C9+NºAsuntos!E9)/NºAsuntos!G9),(NºAsuntos!C9+NºAsuntos!E9)/NºAsuntos!G9," - ")</f>
        <v>4.4912472647702408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135</v>
      </c>
      <c r="G10" s="333">
        <f>IF(ISNUMBER(Datos!I10),Datos!I10," - ")</f>
        <v>135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55</v>
      </c>
      <c r="X10" s="226">
        <f>IF(ISNUMBER(Datos!Q10),Datos!Q10," - ")</f>
        <v>11</v>
      </c>
      <c r="Y10" s="334">
        <f t="shared" ref="Y10:Y12" si="0">SUM(W10:X10)</f>
        <v>66</v>
      </c>
      <c r="Z10" s="335" t="str">
        <f>IF(ISNUMBER(Datos!CC10),Datos!CC10," - ")</f>
        <v xml:space="preserve"> - </v>
      </c>
      <c r="AA10" s="332">
        <f>IF(ISNUMBER(Datos!L10),Datos!L10,"-")</f>
        <v>139</v>
      </c>
      <c r="AB10" s="334">
        <f>IF(ISNUMBER(Datos!R10),Datos!R10," - ")</f>
        <v>141</v>
      </c>
      <c r="AC10" s="334">
        <f t="shared" ref="AC10:AC12" si="1">IF(ISNUMBER(AA10+AB10),AA10+AB10," - ")</f>
        <v>280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22</v>
      </c>
      <c r="AJ10" s="231" t="str">
        <f>IF(ISNUMBER(Datos!BW10),Datos!BW10," - ")</f>
        <v xml:space="preserve"> - </v>
      </c>
      <c r="AK10" s="232" t="str">
        <f>IF(ISNUMBER(Datos!BX10),Datos!BX10," - ")</f>
        <v xml:space="preserve"> - </v>
      </c>
      <c r="AL10" s="243">
        <f>IF(ISNUMBER(NºAsuntos!G10/NºAsuntos!E10),NºAsuntos!G10/NºAsuntos!E10," - ")</f>
        <v>0.93220338983050843</v>
      </c>
      <c r="AM10" s="260">
        <f>IF(ISNUMBER(((NºAsuntos!I10/NºAsuntos!G10)*11)/factor_trimestre),((NºAsuntos!I10/NºAsuntos!G10)*11)/factor_trimestre," - ")</f>
        <v>7.581818181818182</v>
      </c>
      <c r="AN10" s="244">
        <f>IF(ISNUMBER('Resol  Asuntos'!D10/NºAsuntos!G10),'Resol  Asuntos'!D10/NºAsuntos!G10," - ")</f>
        <v>0.4</v>
      </c>
      <c r="AO10" s="245">
        <f>IF(ISNUMBER((NºAsuntos!C10+NºAsuntos!E10)/NºAsuntos!G10),(NºAsuntos!C10+NºAsuntos!E10)/NºAsuntos!G10," - ")</f>
        <v>3.5272727272727273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57</v>
      </c>
      <c r="Y11" s="334">
        <f t="shared" si="0"/>
        <v>57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884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294</v>
      </c>
      <c r="AJ11" s="231" t="str">
        <f>IF(ISNUMBER(Datos!BW11),Datos!BW11," - ")</f>
        <v xml:space="preserve"> - </v>
      </c>
      <c r="AK11" s="232" t="str">
        <f>IF(ISNUMBER(Datos!BX11),Datos!BX11," - ")</f>
        <v xml:space="preserve"> - </v>
      </c>
      <c r="AL11" s="243">
        <f>IF(ISNUMBER(NºAsuntos!G11/NºAsuntos!E11),NºAsuntos!G11/NºAsuntos!E11," - ")</f>
        <v>1.018888888888889</v>
      </c>
      <c r="AM11" s="260">
        <f>IF(ISNUMBER(((NºAsuntos!I11/NºAsuntos!G11)*11)/factor_trimestre),((NºAsuntos!I11/NºAsuntos!G11)*11)/factor_trimestre," - ")</f>
        <v>3.706652126499455</v>
      </c>
      <c r="AN11" s="244">
        <f>IF(ISNUMBER('Resol  Asuntos'!D11/NºAsuntos!G11),'Resol  Asuntos'!D11/NºAsuntos!G11," - ")</f>
        <v>0.32061068702290074</v>
      </c>
      <c r="AO11" s="245">
        <f>IF(ISNUMBER((NºAsuntos!C11+NºAsuntos!E11)/NºAsuntos!G11),(NºAsuntos!C11+NºAsuntos!E11)/NºAsuntos!G11," - ")</f>
        <v>2.2955288985823339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135</v>
      </c>
      <c r="G13" s="866">
        <f t="shared" si="3"/>
        <v>135</v>
      </c>
      <c r="H13" s="865">
        <f t="shared" si="3"/>
        <v>0</v>
      </c>
      <c r="I13" s="867">
        <f t="shared" si="3"/>
        <v>0</v>
      </c>
      <c r="J13" s="867">
        <f t="shared" si="3"/>
        <v>0</v>
      </c>
      <c r="K13" s="867">
        <f t="shared" si="3"/>
        <v>0</v>
      </c>
      <c r="L13" s="867">
        <f t="shared" si="3"/>
        <v>1232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55</v>
      </c>
      <c r="X13" s="867">
        <f t="shared" si="4"/>
        <v>2085</v>
      </c>
      <c r="Y13" s="868">
        <f t="shared" si="4"/>
        <v>2140</v>
      </c>
      <c r="Z13" s="868">
        <f t="shared" si="4"/>
        <v>0</v>
      </c>
      <c r="AA13" s="868">
        <f t="shared" si="4"/>
        <v>139</v>
      </c>
      <c r="AB13" s="868">
        <f t="shared" si="4"/>
        <v>17399</v>
      </c>
      <c r="AC13" s="868">
        <f t="shared" si="4"/>
        <v>280</v>
      </c>
      <c r="AD13" s="868">
        <f t="shared" si="4"/>
        <v>0</v>
      </c>
      <c r="AE13" s="872">
        <f t="shared" si="4"/>
        <v>0</v>
      </c>
      <c r="AF13" s="865">
        <f t="shared" si="4"/>
        <v>0</v>
      </c>
      <c r="AG13" s="873">
        <f t="shared" si="4"/>
        <v>0</v>
      </c>
      <c r="AH13" s="870">
        <f t="shared" si="4"/>
        <v>0</v>
      </c>
      <c r="AI13" s="865">
        <f t="shared" si="4"/>
        <v>1126</v>
      </c>
      <c r="AJ13" s="867">
        <f t="shared" si="4"/>
        <v>0</v>
      </c>
      <c r="AK13" s="870">
        <f>SUBTOTAL(9,AK9:AK12)</f>
        <v>0</v>
      </c>
      <c r="AL13" s="874">
        <f>IF(ISNUMBER(NºAsuntos!G13/NºAsuntos!E13),NºAsuntos!G13/NºAsuntos!E13," - ")</f>
        <v>1.0103919781221513</v>
      </c>
      <c r="AM13" s="874">
        <f>IF(ISNUMBER(((NºAsuntos!I13/NºAsuntos!G13)*11)/factor_trimestre),((NºAsuntos!I13/NºAsuntos!G13)*11)/factor_trimestre," - ")</f>
        <v>9.3242511728617838</v>
      </c>
      <c r="AN13" s="875">
        <f>IF(ISNUMBER('Resol  Asuntos'!D13/NºAsuntos!G13),'Resol  Asuntos'!D13/NºAsuntos!G13," - ")</f>
        <v>0.20317574882713821</v>
      </c>
      <c r="AO13" s="876">
        <f>IF(ISNUMBER((NºAsuntos!C13+NºAsuntos!E13)/NºAsuntos!G13),(NºAsuntos!C13+NºAsuntos!E13)/NºAsuntos!G13," - ")</f>
        <v>4.1183688199206063</v>
      </c>
      <c r="AP13" s="877" t="str">
        <f t="shared" si="2"/>
        <v xml:space="preserve"> - </v>
      </c>
      <c r="AQ13" s="877">
        <f>IF(ISNUMBER((H13-W13+K13)/(F13)),(H13-W13+K13)/(F13)," - ")</f>
        <v>-0.40740740740740738</v>
      </c>
      <c r="AR13" s="878">
        <f>IF(ISNUMBER((Datos!P13-Datos!Q13)/(Datos!R13-Datos!P13+Datos!Q13)),(Datos!P13-Datos!Q13)/(Datos!R13-Datos!P13+Datos!Q13)," - ")</f>
        <v>-4.6734604426912116E-2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6345</v>
      </c>
      <c r="G15" s="333">
        <f>IF(ISNUMBER(IF(D_I="SI",Datos!I15,Datos!I15+Datos!AC15)),IF(D_I="SI",Datos!I15,Datos!I15+Datos!AC15)," - ")</f>
        <v>6299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167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3728</v>
      </c>
      <c r="X15" s="226">
        <f>IF(ISNUMBER(Datos!Q15),Datos!Q15," - ")</f>
        <v>89</v>
      </c>
      <c r="Y15" s="334">
        <f>SUM(W15)</f>
        <v>3728</v>
      </c>
      <c r="Z15" s="335" t="str">
        <f>IF(ISNUMBER(Datos!CC15),Datos!CC15," - ")</f>
        <v xml:space="preserve"> - </v>
      </c>
      <c r="AA15" s="332">
        <f>IF(ISNUMBER(IF(D_I="SI",Datos!L15,Datos!L15+Datos!AF15)),IF(D_I="SI",Datos!L15,Datos!L15+Datos!AF15)," - ")</f>
        <v>6442</v>
      </c>
      <c r="AB15" s="334">
        <f>IF(ISNUMBER(Datos!R15),Datos!R15," - ")</f>
        <v>641</v>
      </c>
      <c r="AC15" s="334">
        <f t="shared" ref="AC15:AC17" si="6">IF(ISNUMBER(AA15+AB15),AA15+AB15," - ")</f>
        <v>7083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486</v>
      </c>
      <c r="AJ15" s="231" t="str">
        <f>IF(ISNUMBER(Datos!BW15),Datos!BW15," - ")</f>
        <v xml:space="preserve"> - </v>
      </c>
      <c r="AK15" s="232" t="str">
        <f>IF(ISNUMBER(Datos!BX15),Datos!BX15," - ")</f>
        <v xml:space="preserve"> - </v>
      </c>
      <c r="AL15" s="243">
        <f>IF(ISNUMBER(NºAsuntos!G15/NºAsuntos!E15),NºAsuntos!G15/NºAsuntos!E15," - ")</f>
        <v>0.97464052287581704</v>
      </c>
      <c r="AM15" s="260">
        <f>IF(ISNUMBER(((NºAsuntos!I15/NºAsuntos!G15)*11)/factor_trimestre),((NºAsuntos!I15/NºAsuntos!G15)*11)/factor_trimestre," - ")</f>
        <v>5.1840128755364807</v>
      </c>
      <c r="AN15" s="244">
        <f>IF(ISNUMBER('Resol  Asuntos'!D15/NºAsuntos!G15),'Resol  Asuntos'!D15/NºAsuntos!G15," - ")</f>
        <v>0.13036480686695279</v>
      </c>
      <c r="AO15" s="245">
        <f>IF(ISNUMBER((NºAsuntos!C15+NºAsuntos!E15)/NºAsuntos!G15),(NºAsuntos!C15+NºAsuntos!E15)/NºAsuntos!G15," - ")</f>
        <v>2.7156652360515023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301</v>
      </c>
      <c r="X17" s="226">
        <f>IF(ISNUMBER(Datos!Q17),Datos!Q17," - ")</f>
        <v>8</v>
      </c>
      <c r="Y17" s="334">
        <f t="shared" si="7"/>
        <v>309</v>
      </c>
      <c r="Z17" s="335" t="str">
        <f>IF(ISNUMBER(Datos!CC17),Datos!CC17," - ")</f>
        <v xml:space="preserve"> - </v>
      </c>
      <c r="AA17" s="332">
        <f>IF(ISNUMBER(Datos!L17),Datos!L17,"-")</f>
        <v>228</v>
      </c>
      <c r="AB17" s="334">
        <f>IF(ISNUMBER(Datos!R17),Datos!R17," - ")</f>
        <v>9</v>
      </c>
      <c r="AC17" s="334">
        <f t="shared" si="6"/>
        <v>237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24</v>
      </c>
      <c r="AJ17" s="231" t="str">
        <f>IF(ISNUMBER(Datos!BW17),Datos!BW17," - ")</f>
        <v xml:space="preserve"> - </v>
      </c>
      <c r="AK17" s="232" t="str">
        <f>IF(ISNUMBER(Datos!BX17),Datos!BX17," - ")</f>
        <v xml:space="preserve"> - </v>
      </c>
      <c r="AL17" s="243">
        <f>IF(ISNUMBER(NºAsuntos!G17/NºAsuntos!E17),NºAsuntos!G17/NºAsuntos!E17," - ")</f>
        <v>1.0487804878048781</v>
      </c>
      <c r="AM17" s="260">
        <f>IF(ISNUMBER(((NºAsuntos!I17/NºAsuntos!G17)*11)/factor_trimestre),((NºAsuntos!I17/NºAsuntos!G17)*11)/factor_trimestre," - ")</f>
        <v>2.272425249169435</v>
      </c>
      <c r="AN17" s="244">
        <f>IF(ISNUMBER('Resol  Asuntos'!D17/NºAsuntos!G17),'Resol  Asuntos'!D17/NºAsuntos!G17," - ")</f>
        <v>7.9734219269102985E-2</v>
      </c>
      <c r="AO17" s="245">
        <f>IF(ISNUMBER((NºAsuntos!C17+NºAsuntos!E17)/NºAsuntos!G17),(NºAsuntos!C17+NºAsuntos!E17)/NºAsuntos!G17," - ")</f>
        <v>1.7574750830564785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6345</v>
      </c>
      <c r="G18" s="866">
        <f>SUBTOTAL(9,G15:G17)</f>
        <v>6541</v>
      </c>
      <c r="H18" s="865">
        <f t="shared" ref="H18:O18" si="10">SUBTOTAL(9,H14:H17)</f>
        <v>0</v>
      </c>
      <c r="I18" s="867">
        <f t="shared" si="10"/>
        <v>0</v>
      </c>
      <c r="J18" s="867">
        <f t="shared" si="10"/>
        <v>0</v>
      </c>
      <c r="K18" s="867">
        <f t="shared" si="10"/>
        <v>0</v>
      </c>
      <c r="L18" s="867">
        <f t="shared" si="10"/>
        <v>170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4029</v>
      </c>
      <c r="X18" s="867">
        <f t="shared" si="11"/>
        <v>97</v>
      </c>
      <c r="Y18" s="868">
        <f t="shared" si="11"/>
        <v>4037</v>
      </c>
      <c r="Z18" s="868">
        <f t="shared" si="11"/>
        <v>0</v>
      </c>
      <c r="AA18" s="868">
        <f t="shared" si="11"/>
        <v>6670</v>
      </c>
      <c r="AB18" s="868">
        <f t="shared" si="11"/>
        <v>650</v>
      </c>
      <c r="AC18" s="868">
        <f t="shared" si="11"/>
        <v>7320</v>
      </c>
      <c r="AD18" s="868">
        <f t="shared" si="11"/>
        <v>0</v>
      </c>
      <c r="AE18" s="872">
        <f t="shared" si="11"/>
        <v>0</v>
      </c>
      <c r="AF18" s="865">
        <f t="shared" si="11"/>
        <v>0</v>
      </c>
      <c r="AG18" s="873">
        <f t="shared" si="11"/>
        <v>0</v>
      </c>
      <c r="AH18" s="870">
        <f t="shared" si="11"/>
        <v>0</v>
      </c>
      <c r="AI18" s="865">
        <f t="shared" si="11"/>
        <v>510</v>
      </c>
      <c r="AJ18" s="867">
        <f t="shared" si="11"/>
        <v>0</v>
      </c>
      <c r="AK18" s="870">
        <f t="shared" si="11"/>
        <v>0</v>
      </c>
      <c r="AL18" s="874">
        <f>IF(ISNUMBER(NºAsuntos!G18/NºAsuntos!E18),NºAsuntos!G18/NºAsuntos!E18," - ")</f>
        <v>0.97981517509727623</v>
      </c>
      <c r="AM18" s="874">
        <f>IF(ISNUMBER(((NºAsuntos!I18/NºAsuntos!G18)*11)/factor_trimestre),((NºAsuntos!I18/NºAsuntos!G18)*11)/factor_trimestre," - ")</f>
        <v>4.9664929262844373</v>
      </c>
      <c r="AN18" s="875">
        <f>IF(ISNUMBER('Resol  Asuntos'!D18/NºAsuntos!G18),'Resol  Asuntos'!D18/NºAsuntos!G18," - ")</f>
        <v>0.12658227848101267</v>
      </c>
      <c r="AO18" s="876">
        <f>IF(ISNUMBER((NºAsuntos!C18+NºAsuntos!E18)/NºAsuntos!G18),(NºAsuntos!C18+NºAsuntos!E18)/NºAsuntos!G18," - ")</f>
        <v>2.6440804169769172</v>
      </c>
      <c r="AP18" s="877" t="str">
        <f t="shared" si="2"/>
        <v xml:space="preserve"> - </v>
      </c>
      <c r="AQ18" s="877">
        <f>IF(ISNUMBER((H18-W18+K18)/(F18)),(H18-W18+K18)/(F18)," - ")</f>
        <v>-0.63498817966903076</v>
      </c>
      <c r="AR18" s="878">
        <f>IF(ISNUMBER((Datos!P18-Datos!Q18)/(Datos!R18-Datos!P18+Datos!Q18)),(Datos!P18-Datos!Q18)/(Datos!R18-Datos!P18+Datos!Q18)," - ")</f>
        <v>0.1265164644714038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6480</v>
      </c>
      <c r="G19" s="821">
        <f t="shared" si="13"/>
        <v>6676</v>
      </c>
      <c r="H19" s="820">
        <f t="shared" si="13"/>
        <v>0</v>
      </c>
      <c r="I19" s="822">
        <f t="shared" si="13"/>
        <v>0</v>
      </c>
      <c r="J19" s="822">
        <f t="shared" si="13"/>
        <v>0</v>
      </c>
      <c r="K19" s="881">
        <f t="shared" si="13"/>
        <v>0</v>
      </c>
      <c r="L19" s="822">
        <f t="shared" si="13"/>
        <v>1402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4084</v>
      </c>
      <c r="X19" s="821">
        <f t="shared" si="14"/>
        <v>2182</v>
      </c>
      <c r="Y19" s="828">
        <f t="shared" si="14"/>
        <v>6177</v>
      </c>
      <c r="Z19" s="828">
        <f t="shared" si="14"/>
        <v>0</v>
      </c>
      <c r="AA19" s="828">
        <f t="shared" si="14"/>
        <v>6809</v>
      </c>
      <c r="AB19" s="828">
        <f t="shared" si="14"/>
        <v>18049</v>
      </c>
      <c r="AC19" s="828">
        <f t="shared" si="14"/>
        <v>7600</v>
      </c>
      <c r="AD19" s="828">
        <f t="shared" si="14"/>
        <v>0</v>
      </c>
      <c r="AE19" s="830">
        <f t="shared" si="14"/>
        <v>0</v>
      </c>
      <c r="AF19" s="831">
        <f t="shared" si="14"/>
        <v>0</v>
      </c>
      <c r="AG19" s="832">
        <f t="shared" si="14"/>
        <v>0</v>
      </c>
      <c r="AH19" s="830">
        <f t="shared" si="14"/>
        <v>0</v>
      </c>
      <c r="AI19" s="820">
        <f t="shared" si="14"/>
        <v>1636</v>
      </c>
      <c r="AJ19" s="820">
        <f t="shared" si="14"/>
        <v>0</v>
      </c>
      <c r="AK19" s="830">
        <f t="shared" si="14"/>
        <v>0</v>
      </c>
      <c r="AL19" s="884">
        <f>IF(ISNUMBER(NºAsuntos!G19/NºAsuntos!E19),NºAsuntos!G19/NºAsuntos!E19," - ")</f>
        <v>0.99729082004793168</v>
      </c>
      <c r="AM19" s="885">
        <f>IF(ISNUMBER(((NºAsuntos!I19/NºAsuntos!G19)*11)/factor_trimestre),((NºAsuntos!I19/NºAsuntos!G19)*11)/factor_trimestre," - ")</f>
        <v>7.4898129767004491</v>
      </c>
      <c r="AN19" s="885">
        <f>IF(ISNUMBER('Resol  Asuntos'!D19/NºAsuntos!G19),'Resol  Asuntos'!D19/NºAsuntos!G19," - ")</f>
        <v>0.17093302685194858</v>
      </c>
      <c r="AO19" s="886">
        <f>IF(ISNUMBER((NºAsuntos!C19+NºAsuntos!E19)/NºAsuntos!G19),(NºAsuntos!C19+NºAsuntos!E19)/NºAsuntos!G19," - ")</f>
        <v>3.4977536307595862</v>
      </c>
      <c r="AP19" s="887" t="str">
        <f t="shared" si="2"/>
        <v xml:space="preserve"> - </v>
      </c>
      <c r="AQ19" s="888">
        <f>IF(OR(ISNUMBER(FIND("01",Criterios!A8,1)),ISNUMBER(FIND("02",Criterios!A8,1)),ISNUMBER(FIND("03",Criterios!A8,1)),ISNUMBER(FIND("04",Criterios!A8,1))),(I19-W19+K19)/(F19-K19),(H19-W19+K19)/(F19-K19))</f>
        <v>-0.63024691358024687</v>
      </c>
      <c r="AR19" s="889">
        <f>IF(ISNUMBER((Datos!P19-Datos!Q19)/(Datos!R19-Datos!P19+Datos!Q19)),(Datos!P19-Datos!Q19)/(Datos!R19-Datos!P19+Datos!Q19)," - ")</f>
        <v>-4.1425460725476655E-2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2670.4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3.9299420408505319</v>
      </c>
      <c r="F21" s="252">
        <f>IF(ISNUMBER(STDEV(F8:F18)),STDEV(F8:F18),"-")</f>
        <v>3585.3451716675759</v>
      </c>
      <c r="G21" s="253">
        <f>IF(ISNUMBER(STDEV(G8:G18)),STDEV(G8:G18),"-")</f>
        <v>3424.2486475137871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2054.5213067768364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403.80311091044405</v>
      </c>
      <c r="AJ21" s="252">
        <f t="shared" si="18"/>
        <v>0</v>
      </c>
      <c r="AK21" s="254">
        <f t="shared" si="18"/>
        <v>0</v>
      </c>
      <c r="AL21" s="249">
        <f t="shared" si="18"/>
        <v>3.7621855451371457E-2</v>
      </c>
      <c r="AM21" s="250">
        <f t="shared" si="18"/>
        <v>3.0032966117389042</v>
      </c>
      <c r="AN21" s="250">
        <f t="shared" si="18"/>
        <v>0.11516280748771246</v>
      </c>
      <c r="AO21" s="251">
        <f t="shared" si="18"/>
        <v>0.99641850073557769</v>
      </c>
      <c r="AP21" s="291" t="str">
        <f t="shared" si="18"/>
        <v>-</v>
      </c>
      <c r="AQ21" s="292">
        <f t="shared" si="18"/>
        <v>0.16092390733386536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AHWB0s9OZjOuMCSioTFDAJtiVk1eCh2aFkZb8FK7xu2i/UMIKcBLZDFfd5M7XdTSFn84bx4MhQsL8O/RLs4RQ==" saltValue="osYH1/Xnj2DTURtDJl0h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SABADELL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0.25</v>
      </c>
      <c r="I9" s="350">
        <f>IF(ISNUMBER((Tasas!C9-Datos!BE9)/Datos!BE9),(Tasas!C9-Datos!BE9)/Datos!BE9," - ")</f>
        <v>-0.11729658421410014</v>
      </c>
      <c r="J9" s="349">
        <f>IF(ISNUMBER((Tasas!D9-Datos!BF9)/Datos!BF9),(Tasas!D9-Datos!BF9)/Datos!BF9," - ")</f>
        <v>-0.66812424223668065</v>
      </c>
      <c r="K9" s="351">
        <f>IF(ISNUMBER((Tasas!E9-Datos!BG9)/Datos!BG9),(Tasas!E9-Datos!BG9)/Datos!BG9," - ")</f>
        <v>-9.353435966614862E-2</v>
      </c>
      <c r="M9" t="e">
        <f>IF(Monitorios="SI",Datos!CE9,0)</f>
        <v>#REF!</v>
      </c>
      <c r="N9" t="e">
        <f>IF(Monitorios="SI",Datos!CF9,0)</f>
        <v>#REF!</v>
      </c>
      <c r="O9" t="e">
        <f>IF(Monitorios="SI",Datos!CG9,0)</f>
        <v>#REF!</v>
      </c>
      <c r="P9" t="e">
        <f>IF(Monitorios="SI",Datos!CH9,0)</f>
        <v>#REF!</v>
      </c>
      <c r="Q9">
        <f>IF(J_V="SI",0,Datos!AG9)</f>
        <v>447</v>
      </c>
      <c r="R9">
        <f>IF(J_V="SI",0,Datos!AH9)</f>
        <v>99</v>
      </c>
      <c r="S9">
        <f>IF(J_V="SI",0,Datos!AI9)</f>
        <v>134</v>
      </c>
      <c r="T9">
        <f>IF(J_V="SI",0,Datos!AJ9)</f>
        <v>412</v>
      </c>
    </row>
    <row r="10" spans="2:20" ht="14.25">
      <c r="B10" s="275" t="s">
        <v>246</v>
      </c>
      <c r="C10" s="7" t="str">
        <f>Datos!A10</f>
        <v>Jdos. Violencia contra la mujer</v>
      </c>
      <c r="D10" s="352">
        <f>IF(ISNUMBER((Datos!I10-Datos!S10)/Datos!S10),(Datos!I10-Datos!S10)/Datos!S10," - ")</f>
        <v>0.17391304347826086</v>
      </c>
      <c r="E10" s="348">
        <f>IF(ISNUMBER((Datos!J10-Datos!T10)/Datos!T10),(Datos!J10-Datos!T10)/Datos!T10," - ")</f>
        <v>0.28260869565217389</v>
      </c>
      <c r="F10" s="348">
        <f>IF(ISNUMBER((Datos!K10-Datos!U10)/Datos!U10),(Datos!K10-Datos!U10)/Datos!U10," - ")</f>
        <v>0.44736842105263158</v>
      </c>
      <c r="G10" s="349">
        <f>IF(ISNUMBER((Datos!L10-Datos!V10)/Datos!V10),(Datos!L10-Datos!V10)/Datos!V10," - ")</f>
        <v>0.13008130081300814</v>
      </c>
      <c r="H10" s="230">
        <f>IF(ISNUMBER((Datos!M10-Datos!W10)/Datos!W10),(Datos!M10-Datos!W10)/Datos!W10," - ")</f>
        <v>1.2</v>
      </c>
      <c r="I10" s="350">
        <f>IF(ISNUMBER((Tasas!C10-Datos!BE10)/Datos!BE10),(Tasas!C10-Datos!BE10)/Datos!BE10," - ")</f>
        <v>-0.21921655580192165</v>
      </c>
      <c r="J10" s="349">
        <f>IF(ISNUMBER((Tasas!D10-Datos!BF10)/Datos!BF10),(Tasas!D10-Datos!BF10)/Datos!BF10," - ")</f>
        <v>0.52000000000000013</v>
      </c>
      <c r="K10" s="351">
        <f>IF(ISNUMBER((Tasas!E10-Datos!BG10)/Datos!BG10),(Tasas!E10-Datos!BG10)/Datos!BG10," - ")</f>
        <v>-0.16747600225861087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0.92156862745098034</v>
      </c>
      <c r="I11" s="350">
        <f>IF(ISNUMBER((Tasas!C11-Datos!BE11)/Datos!BE11),(Tasas!C11-Datos!BE11)/Datos!BE11," - ")</f>
        <v>-0.20378238401219206</v>
      </c>
      <c r="J11" s="349">
        <f>IF(ISNUMBER((Tasas!D11-Datos!BF11)/Datos!BF11),(Tasas!D11-Datos!BF11)/Datos!BF11," - ")</f>
        <v>-0.3877603829732178</v>
      </c>
      <c r="K11" s="351">
        <f>IF(ISNUMBER((Tasas!E11-Datos!BG11)/Datos!BG11),(Tasas!E11-Datos!BG11)/Datos!BG11," - ")</f>
        <v>-9.9374616690854442E-2</v>
      </c>
      <c r="M11" t="e">
        <f>IF(Monitorios="SI",Datos!CE11,0)</f>
        <v>#REF!</v>
      </c>
      <c r="N11" t="e">
        <f>IF(Monitorios="SI",Datos!CF11,0)</f>
        <v>#REF!</v>
      </c>
      <c r="O11" t="e">
        <f>IF(Monitorios="SI",Datos!CG11,0)</f>
        <v>#REF!</v>
      </c>
      <c r="P11" t="e">
        <f>IF(Monitorios="SI",Datos!CH11,0)</f>
        <v>#REF!</v>
      </c>
      <c r="Q11">
        <f>IF(J_V="SI",0,Datos!AG11)</f>
        <v>21</v>
      </c>
      <c r="R11">
        <f>IF(J_V="SI",0,Datos!AH11)</f>
        <v>263</v>
      </c>
      <c r="S11">
        <f>IF(J_V="SI",0,Datos!AI11)</f>
        <v>255</v>
      </c>
      <c r="T11">
        <f>IF(J_V="SI",0,Datos!AJ11)</f>
        <v>30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0.38840937114673241</v>
      </c>
      <c r="I13" s="357">
        <f>IF(ISNUMBER((Tasas!C13-Datos!BE13)/Datos!BE13),(Tasas!C13-Datos!BE13)/Datos!BE13," - ")</f>
        <v>-0.12469445484163755</v>
      </c>
      <c r="J13" s="355">
        <f>IF(ISNUMBER((Tasas!D13-Datos!BF13)/Datos!BF13),(Tasas!D13-Datos!BF13)/Datos!BF13," - ")</f>
        <v>-0.61652569787586753</v>
      </c>
      <c r="K13" s="358">
        <f>IF(ISNUMBER((Tasas!E13-Datos!BG13)/Datos!BG13),(Tasas!E13-Datos!BG13)/Datos!BG13," - ")</f>
        <v>-9.4936947317431616E-2</v>
      </c>
      <c r="M13" t="e">
        <f>IF(Monitorios="SI",Datos!CE13,0)</f>
        <v>#REF!</v>
      </c>
      <c r="N13" t="e">
        <f>IF(Monitorios="SI",Datos!CF13,0)</f>
        <v>#REF!</v>
      </c>
      <c r="O13" t="e">
        <f>IF(Monitorios="SI",Datos!CG13,0)</f>
        <v>#REF!</v>
      </c>
      <c r="P13" t="e">
        <f>IF(Monitorios="SI",Datos!CH13,0)</f>
        <v>#REF!</v>
      </c>
      <c r="Q13">
        <f>IF(J_V="SI",0,Datos!AG13)</f>
        <v>468</v>
      </c>
      <c r="R13">
        <f>IF(J_V="SI",0,Datos!AH13)</f>
        <v>362</v>
      </c>
      <c r="S13">
        <f>IF(J_V="SI",0,Datos!AI13)</f>
        <v>389</v>
      </c>
      <c r="T13">
        <f>IF(J_V="SI",0,Datos!AJ13)</f>
        <v>442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8.8474166234663906E-2</v>
      </c>
      <c r="E15" s="348">
        <f>IF(ISNUMBER(
   IF(D_I="SI",(Datos!J15-Datos!T15)/Datos!T15,(Datos!J15+Datos!AD15-(Datos!T15+Datos!AL15))/(Datos!T15+Datos!AL15))
     ),IF(D_I="SI",(Datos!J15-Datos!T15)/Datos!T15,(Datos!J15+Datos!AD15-(Datos!T15+Datos!AL15))/(Datos!T15+Datos!AL15))," - ")</f>
        <v>0.16509290283277489</v>
      </c>
      <c r="F15" s="348">
        <f>IF(ISNUMBER(
   IF(D_I="SI",(Datos!K15-Datos!U15)/Datos!U15,(Datos!K15+Datos!AE15-(Datos!U15+Datos!AM15))/(Datos!U15+Datos!AM15))
     ),IF(D_I="SI",(Datos!K15-Datos!U15)/Datos!U15,(Datos!K15+Datos!AE15-(Datos!U15+Datos!AM15))/(Datos!U15+Datos!AM15))," - ")</f>
        <v>7.0341659488946315E-2</v>
      </c>
      <c r="G15" s="349">
        <f>IF(ISNUMBER(
   IF(D_I="SI",(Datos!L15-Datos!V15)/Datos!V15,(Datos!L15+Datos!AF15-(Datos!V15+Datos!AN15))/(Datos!V15+Datos!AN15))
     ),IF(D_I="SI",(Datos!L15-Datos!V15)/Datos!V15,(Datos!L15+Datos!AF15-(Datos!V15+Datos!AN15))/(Datos!V15+Datos!AN15))," - ")</f>
        <v>0.14300922640170333</v>
      </c>
      <c r="H15" s="230">
        <f>IF(ISNUMBER((Datos!M15-Datos!W15)/Datos!W15),(Datos!M15-Datos!W15)/Datos!W15," - ")</f>
        <v>0.50464396284829727</v>
      </c>
      <c r="I15" s="350">
        <f>IF(ISNUMBER((Tasas!C15-Datos!BE15)/Datos!BE15),(Tasas!C15-Datos!BE15)/Datos!BE15," - ")</f>
        <v>6.7891935503522752E-2</v>
      </c>
      <c r="J15" s="349">
        <f>IF(ISNUMBER((Tasas!D15-Datos!BF15)/Datos!BF15),(Tasas!D15-Datos!BF15)/Datos!BF15," - ")</f>
        <v>0.40576044061175409</v>
      </c>
      <c r="K15" s="351">
        <f>IF(ISNUMBER((Tasas!E15-Datos!BG15)/Datos!BG15),(Tasas!E15-Datos!BG15)/Datos!BG15," - ")</f>
        <v>4.2851380062555941E-2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0.1050228310502283</v>
      </c>
      <c r="E17" s="348">
        <f>IF(ISNUMBER(
   IF(D_I="SI",(Datos!J17-Datos!T17)/Datos!T17,(Datos!J17+Datos!AD17-(Datos!T17+Datos!AL17))/(Datos!T17+Datos!AL17))
     ),IF(D_I="SI",(Datos!J17-Datos!T17)/Datos!T17,(Datos!J17+Datos!AD17-(Datos!T17+Datos!AL17))/(Datos!T17+Datos!AL17))," - ")</f>
        <v>5.128205128205128E-2</v>
      </c>
      <c r="F17" s="348">
        <f>IF(ISNUMBER(
   IF(D_I="SI",(Datos!K17-Datos!U17)/Datos!U17,(Datos!K17+Datos!AE17-(Datos!U17+Datos!AM17))/(Datos!U17+Datos!AM17))
     ),IF(D_I="SI",(Datos!K17-Datos!U17)/Datos!U17,(Datos!K17+Datos!AE17-(Datos!U17+Datos!AM17))/(Datos!U17+Datos!AM17))," - ")</f>
        <v>7.4999999999999997E-2</v>
      </c>
      <c r="G17" s="349">
        <f>IF(ISNUMBER(
   IF(D_I="SI",(Datos!L17-Datos!V17)/Datos!V17,(Datos!L17+Datos!AF17-(Datos!V17+Datos!AN17))/(Datos!V17+Datos!AN17))
     ),IF(D_I="SI",(Datos!L17-Datos!V17)/Datos!V17,(Datos!L17+Datos!AF17-(Datos!V17+Datos!AN17))/(Datos!V17+Datos!AN17))," - ")</f>
        <v>7.5471698113207544E-2</v>
      </c>
      <c r="H17" s="230">
        <f>IF(ISNUMBER((Datos!M17-Datos!W17)/Datos!W17),(Datos!M17-Datos!W17)/Datos!W17," - ")</f>
        <v>9.0909090909090912E-2</v>
      </c>
      <c r="I17" s="350">
        <f>IF(ISNUMBER((Tasas!C17-Datos!BE17)/Datos!BE17),(Tasas!C17-Datos!BE17)/Datos!BE17," - ")</f>
        <v>4.3878894251863677E-4</v>
      </c>
      <c r="J17" s="349">
        <f>IF(ISNUMBER((Tasas!D17-Datos!BF17)/Datos!BF17),(Tasas!D17-Datos!BF17)/Datos!BF17," - ")</f>
        <v>1.4799154334038011E-2</v>
      </c>
      <c r="K17" s="351">
        <f>IF(ISNUMBER((Tasas!E17-Datos!BG17)/Datos!BG17),(Tasas!E17-Datos!BG17)/Datos!BG17," - ")</f>
        <v>1.8907165815850016E-4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8.9077589077589073E-2</v>
      </c>
      <c r="E18" s="354">
        <f>IF(ISNUMBER(
   IF(D_I="SI",(Datos!J18-Datos!T18)/Datos!T18,(Datos!J18+Datos!AD18-(Datos!T18+Datos!AL18))/(Datos!T18+Datos!AL18))
     ),IF(D_I="SI",(Datos!J18-Datos!T18)/Datos!T18,(Datos!J18+Datos!AD18-(Datos!T18+Datos!AL18))/(Datos!T18+Datos!AL18))," - ")</f>
        <v>0.156355455568054</v>
      </c>
      <c r="F18" s="354">
        <f>IF(ISNUMBER(
   IF(D_I="SI",(Datos!K18-Datos!U18)/Datos!U18,(Datos!K18+Datos!AE18-(Datos!U18+Datos!AM18))/(Datos!U18+Datos!AM18))
     ),IF(D_I="SI",(Datos!K18-Datos!U18)/Datos!U18,(Datos!K18+Datos!AE18-(Datos!U18+Datos!AM18))/(Datos!U18+Datos!AM18))," - ")</f>
        <v>7.0688280627159178E-2</v>
      </c>
      <c r="G18" s="355">
        <f>IF(ISNUMBER(
   IF(D_I="SI",(Datos!L18-Datos!V18)/Datos!V18,(Datos!L18+Datos!AF18-(Datos!V18+Datos!AN18))/(Datos!V18+Datos!AN18))
     ),IF(D_I="SI",(Datos!L18-Datos!V18)/Datos!V18,(Datos!L18+Datos!AF18-(Datos!V18+Datos!AN18))/(Datos!V18+Datos!AN18))," - ")</f>
        <v>0.1405608755129959</v>
      </c>
      <c r="H18" s="356">
        <f>IF(ISNUMBER((Datos!M18-Datos!W18)/Datos!W18),(Datos!M18-Datos!W18)/Datos!W18," - ")</f>
        <v>0.47826086956521741</v>
      </c>
      <c r="I18" s="357">
        <f>IF(ISNUMBER((Tasas!C18-Datos!BE18)/Datos!BE18),(Tasas!C18-Datos!BE18)/Datos!BE18," - ")</f>
        <v>6.5259512175578016E-2</v>
      </c>
      <c r="J18" s="355">
        <f>IF(ISNUMBER((Tasas!D18-Datos!BF18)/Datos!BF18),(Tasas!D18-Datos!BF18)/Datos!BF18," - ")</f>
        <v>0.38066409833058151</v>
      </c>
      <c r="K18" s="358">
        <f>IF(ISNUMBER((Tasas!E18-Datos!BG18)/Datos!BG18),(Tasas!E18-Datos!BG18)/Datos!BG18," - ")</f>
        <v>4.0543255499282428E-2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7.4804212800432077E-2</v>
      </c>
      <c r="E19" s="363">
        <f>IF(ISNUMBER(
   IF(J_V="SI",(Datos!J19-Datos!T19)/Datos!T19,(Datos!J19+Datos!Z19-(Datos!T19+Datos!AH19))/(Datos!T19+Datos!AH19))
     ),IF(J_V="SI",(Datos!J19-Datos!T19)/Datos!T19,(Datos!J19+Datos!Z19-(Datos!T19+Datos!AH19))/(Datos!T19+Datos!AH19))," - ")</f>
        <v>0.61158690176322417</v>
      </c>
      <c r="F19" s="363">
        <f>IF(ISNUMBER(
   IF(J_V="SI",(Datos!K19-Datos!U19)/Datos!U19,(Datos!K19+Datos!AA19-(Datos!U19+Datos!AI19))/(Datos!U19+Datos!AI19))
     ),IF(J_V="SI",(Datos!K19-Datos!U19)/Datos!U19,(Datos!K19+Datos!AA19-(Datos!U19+Datos!AI19))/(Datos!U19+Datos!AI19))," - ")</f>
        <v>0.21876989685470521</v>
      </c>
      <c r="G19" s="364">
        <f>IF(ISNUMBER(
   IF(J_V="SI",(Datos!L19-Datos!V19)/Datos!V19,(Datos!L19+Datos!AB19-(Datos!V19+Datos!AJ19))/(Datos!V19+Datos!AJ19))
     ),IF(J_V="SI",(Datos!L19-Datos!V19)/Datos!V19,(Datos!L19+Datos!AB19-(Datos!V19+Datos!AJ19))/(Datos!V19+Datos!AJ19))," - ")</f>
        <v>0.17299101664130381</v>
      </c>
      <c r="H19" s="365">
        <f>IF(ISNUMBER((Datos!M19-Datos!W19)/Datos!W19),(Datos!M19-Datos!W19)/Datos!W19," - ")</f>
        <v>0.41522491349480967</v>
      </c>
      <c r="I19" s="362">
        <f>IF(ISNUMBER((Tasas!C19-Datos!BE19)/Datos!BE19),(Tasas!C19-Datos!BE19)/Datos!BE19," - ")</f>
        <v>-3.7561544908143479E-2</v>
      </c>
      <c r="J19" s="363">
        <f>IF(ISNUMBER((Tasas!D19-Datos!BF19)/Datos!BF19),(Tasas!D19-Datos!BF19)/Datos!BF19," - ")</f>
        <v>-0.46563015132629287</v>
      </c>
      <c r="K19" s="364">
        <f>IF(ISNUMBER((Tasas!E19-Datos!BG19)/Datos!BG19),(Tasas!E19-Datos!BG19)/Datos!BG19," - ")</f>
        <v>-2.5028954589321997E-2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4.0590629670185376E-2</v>
      </c>
      <c r="E21" s="278">
        <f t="shared" si="1"/>
        <v>9.4574279357949625E-2</v>
      </c>
      <c r="F21" s="278">
        <f t="shared" si="1"/>
        <v>0.18769118238253854</v>
      </c>
      <c r="G21" s="279">
        <f t="shared" si="1"/>
        <v>3.1705775784185132E-2</v>
      </c>
      <c r="H21" s="285">
        <f t="shared" si="1"/>
        <v>0.38613585328713446</v>
      </c>
      <c r="I21" s="277">
        <f t="shared" si="1"/>
        <v>0.12070477288612423</v>
      </c>
      <c r="J21" s="278">
        <f t="shared" si="1"/>
        <v>0.5065239210482867</v>
      </c>
      <c r="K21" s="279">
        <f t="shared" si="1"/>
        <v>8.1059576064906769E-2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tLsIu64joxEsoRO3CfZiDmp7POwj0NUu67ZGkVRDD3tn0fwrBQmRzttDjw7J6M9w3EpnDbzy3A8xe9LsqZS4g==" saltValue="NgDwpk9+5XVlJKv8Jvha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